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yJW7MlpLUD3e3XGqgQhtoOdnACmyTnWI1kRsV2Rowcd64qehKdpagbT2YXdzolooc1Bf5wvixOBbcgCA5HV+yg==" workbookSaltValue="AQa0616Vs6J05FKKiNojH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13" i="17" s="1"/>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A13" i="8" s="1"/>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W18" i="21"/>
  <c r="AV18" i="21"/>
  <c r="AR13" i="21"/>
  <c r="R13" i="12"/>
  <c r="P19" i="19"/>
  <c r="BE11" i="13"/>
  <c r="BD11" i="13"/>
  <c r="BM18" i="16"/>
  <c r="BF17" i="8"/>
  <c r="B13" i="7"/>
  <c r="EL19" i="8"/>
  <c r="AP12" i="11"/>
  <c r="EN19" i="8"/>
  <c r="F12" i="21"/>
  <c r="G10" i="3"/>
  <c r="BA13" i="16"/>
  <c r="AP10" i="11"/>
  <c r="T10" i="21"/>
  <c r="ES19" i="8"/>
  <c r="G18" i="12"/>
  <c r="BM19" i="8"/>
  <c r="AL13" i="16"/>
  <c r="S13" i="16"/>
  <c r="P13" i="16"/>
  <c r="AM13" i="20"/>
  <c r="Z13" i="17"/>
  <c r="T13" i="12"/>
  <c r="BD15" i="8"/>
  <c r="T13" i="20"/>
  <c r="T13" i="16"/>
  <c r="AP13" i="16"/>
  <c r="BG15" i="13"/>
  <c r="BE16" i="13"/>
  <c r="F20" i="20"/>
  <c r="AE20" i="20"/>
  <c r="L20" i="20"/>
  <c r="AP20" i="20"/>
  <c r="AF20" i="20"/>
  <c r="O20" i="20"/>
  <c r="Q20" i="20"/>
  <c r="AG20" i="20"/>
  <c r="O16" i="11"/>
  <c r="AQ20" i="21"/>
  <c r="G18" i="14"/>
  <c r="Z20" i="20"/>
  <c r="AM20" i="20"/>
  <c r="AK20" i="20"/>
  <c r="AB20" i="20"/>
  <c r="E20" i="20"/>
  <c r="AJ20" i="20"/>
  <c r="AO20" i="20"/>
  <c r="Y20" i="20"/>
  <c r="AQ20" i="20"/>
  <c r="P20" i="20"/>
  <c r="W20" i="21"/>
  <c r="R20" i="20"/>
  <c r="O10" i="11"/>
  <c r="J20" i="20"/>
  <c r="M20" i="20"/>
  <c r="AH20" i="20"/>
  <c r="T20" i="21"/>
  <c r="I20" i="20"/>
  <c r="W20" i="20"/>
  <c r="AU20" i="20"/>
  <c r="AV20" i="20"/>
  <c r="L19" i="8" l="1"/>
  <c r="B17" i="6"/>
  <c r="C18" i="7"/>
  <c r="BF16" i="8"/>
  <c r="I19" i="8"/>
  <c r="G12" i="12"/>
  <c r="BE12" i="8"/>
  <c r="AE19" i="8"/>
  <c r="AC10" i="11"/>
  <c r="Q19" i="8"/>
  <c r="H13" i="12"/>
  <c r="BG10" i="8"/>
  <c r="S19" i="8"/>
  <c r="M18" i="2"/>
  <c r="AO9" i="11"/>
  <c r="J10" i="2"/>
  <c r="AN16" i="11"/>
  <c r="C11" i="6"/>
  <c r="X12" i="21"/>
  <c r="BJ17" i="11"/>
  <c r="V11" i="16"/>
  <c r="BL12" i="11"/>
  <c r="V12" i="21"/>
  <c r="BI10" i="11"/>
  <c r="BJ11" i="11"/>
  <c r="BG15" i="11"/>
  <c r="T15" i="16"/>
  <c r="BV12" i="16"/>
  <c r="U10" i="17"/>
  <c r="S12" i="14"/>
  <c r="V12" i="14" s="1"/>
  <c r="BG12" i="11"/>
  <c r="AQ10" i="21"/>
  <c r="BH11" i="11"/>
  <c r="AQ12" i="21"/>
  <c r="L12" i="2"/>
  <c r="BH15" i="16"/>
  <c r="BF16" i="11"/>
  <c r="S9" i="17"/>
  <c r="BJ12" i="11"/>
  <c r="BK17" i="11"/>
  <c r="BV17" i="16"/>
  <c r="BV11" i="16"/>
  <c r="BU16" i="17"/>
  <c r="BH10" i="11"/>
  <c r="BJ10" i="11"/>
  <c r="BL16" i="11"/>
  <c r="X15" i="16"/>
  <c r="X18" i="16" s="1"/>
  <c r="BH9" i="16"/>
  <c r="S16" i="14"/>
  <c r="V16" i="14" s="1"/>
  <c r="S11" i="14"/>
  <c r="V11" i="14" s="1"/>
  <c r="T11" i="11"/>
  <c r="AN12" i="11"/>
  <c r="D10" i="6"/>
  <c r="BF15" i="8"/>
  <c r="BF11" i="8"/>
  <c r="BF9" i="8"/>
  <c r="BG9" i="8"/>
  <c r="K9" i="7" s="1"/>
  <c r="BG12" i="8"/>
  <c r="E9" i="6"/>
  <c r="K9" i="12" s="1"/>
  <c r="AO17" i="11"/>
  <c r="AO15" i="11"/>
  <c r="AL16" i="11"/>
  <c r="AB13" i="21"/>
  <c r="BG16" i="13"/>
  <c r="BD16" i="13"/>
  <c r="BE15" i="13"/>
  <c r="F15" i="16"/>
  <c r="BL15" i="16" s="1"/>
  <c r="BE12" i="21"/>
  <c r="BE9" i="13"/>
  <c r="AL9" i="11"/>
  <c r="E11" i="6"/>
  <c r="V9" i="16"/>
  <c r="AA11" i="16"/>
  <c r="L17" i="2"/>
  <c r="S16" i="17"/>
  <c r="S15" i="17"/>
  <c r="AA10" i="16"/>
  <c r="BJ16" i="1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AA9" i="16"/>
  <c r="L9" i="2"/>
  <c r="U9" i="17"/>
  <c r="U19" i="17" s="1"/>
  <c r="X10" i="21"/>
  <c r="L16" i="2"/>
  <c r="L15" i="2"/>
  <c r="L10" i="2"/>
  <c r="BK10" i="11"/>
  <c r="BH12" i="16"/>
  <c r="BM9" i="11"/>
  <c r="S17" i="17"/>
  <c r="BF15" i="11"/>
  <c r="BM17" i="11"/>
  <c r="Q15" i="17"/>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12" i="7"/>
  <c r="S19" i="16"/>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AA20" i="20"/>
  <c r="K20" i="20"/>
  <c r="U12" i="11"/>
  <c r="AN20" i="20"/>
  <c r="S20" i="20"/>
  <c r="N20" i="20"/>
  <c r="AD20" i="20"/>
  <c r="AZ20" i="20"/>
  <c r="G13" i="14"/>
  <c r="H20" i="20"/>
  <c r="U16" i="11"/>
  <c r="K15" i="12" l="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AC13" i="11" s="1"/>
  <c r="H13" i="11"/>
  <c r="E13" i="12" s="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L19" i="21" l="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<sst xmlns="http://schemas.openxmlformats.org/spreadsheetml/2006/main" count="2094" uniqueCount="913">
  <si>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</si>
  <si>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</si>
  <si>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</si>
  <si>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</si>
  <si>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</si>
  <si>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</si>
  <si>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</si>
  <si>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</si>
  <si>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</si>
  <si>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</si>
  <si>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</si>
  <si>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</si>
  <si>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</si>
  <si>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</si>
  <si>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</si>
  <si>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</si>
  <si>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</si>
  <si>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</si>
  <si>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</si>
  <si>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</si>
  <si>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</si>
  <si>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</si>
  <si>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</si>
  <si>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</si>
  <si>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</si>
  <si>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</si>
  <si>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</si>
  <si>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</si>
  <si>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</si>
  <si>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</si>
  <si>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</si>
  <si>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</si>
  <si>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</si>
  <si>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</si>
  <si>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</si>
  <si>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</si>
  <si>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</si>
  <si>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</si>
  <si>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</si>
  <si>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</si>
  <si>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</si>
  <si>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</si>
  <si>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</si>
  <si>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</si>
  <si>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</si>
  <si>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</si>
  <si>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</si>
  <si>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</si>
  <si>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</si>
  <si>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</si>
  <si>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</si>
  <si>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</si>
  <si>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</si>
  <si>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</si>
  <si>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</si>
  <si>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</si>
  <si>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</si>
  <si>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</si>
  <si>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</si>
  <si>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</si>
  <si>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</si>
  <si>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</si>
  <si>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</si>
  <si>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</si>
  <si>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</si>
  <si>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</si>
  <si>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</si>
  <si>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</si>
  <si>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</si>
  <si>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</si>
  <si>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</si>
  <si>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</si>
  <si>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</si>
  <si>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</si>
  <si>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</si>
  <si>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</si>
  <si>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</si>
  <si>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</si>
  <si>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</si>
  <si>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</si>
  <si>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</si>
  <si>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</si>
  <si>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</si>
  <si>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</si>
  <si>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</si>
  <si>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</si>
  <si>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</si>
  <si>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</si>
  <si>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</si>
  <si>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</si>
  <si>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</si>
  <si>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</si>
  <si>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</si>
  <si>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</si>
  <si>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</si>
  <si>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</si>
  <si>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</si>
  <si>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</si>
  <si>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</si>
  <si>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</si>
  <si>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</si>
  <si>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</si>
  <si>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</si>
  <si>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</si>
  <si>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</si>
  <si>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</si>
  <si>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</si>
  <si>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</si>
  <si>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</si>
  <si>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</si>
  <si>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</si>
  <si>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</si>
  <si>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</si>
  <si>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</si>
  <si>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</si>
  <si>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</si>
  <si>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</si>
  <si>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</si>
  <si>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</si>
  <si>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</si>
  <si>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</si>
  <si>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</si>
  <si>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</si>
  <si>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</si>
  <si>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</si>
  <si>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</si>
  <si>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</si>
  <si>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</si>
  <si>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</si>
  <si>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</si>
  <si>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</si>
  <si>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</si>
  <si>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</si>
  <si>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</si>
  <si>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</si>
  <si>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</si>
  <si>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</si>
  <si>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</si>
  <si>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</si>
  <si>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</si>
  <si>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</si>
  <si>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</si>
  <si>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</si>
  <si>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</si>
  <si>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</si>
  <si>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</si>
  <si>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</si>
  <si>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</si>
  <si>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</si>
  <si>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</si>
  <si>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</si>
  <si>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</si>
  <si>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</si>
  <si>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</si>
  <si>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</si>
  <si>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</si>
  <si>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</si>
  <si>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</si>
  <si>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</si>
  <si>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</si>
  <si>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</si>
  <si>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</si>
  <si>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</si>
  <si>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</si>
  <si>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</si>
  <si>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</si>
  <si>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</si>
  <si>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</si>
  <si>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</si>
  <si>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</si>
  <si>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</si>
  <si>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</si>
  <si>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</si>
  <si>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</si>
  <si>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</si>
  <si>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</si>
  <si>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</si>
  <si>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</si>
  <si>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</si>
  <si>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</si>
  <si>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</si>
  <si>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</si>
  <si>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</si>
  <si>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</si>
  <si>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</si>
  <si>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</si>
  <si>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</si>
  <si>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</si>
  <si>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</si>
  <si>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</si>
  <si>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</si>
  <si>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</si>
  <si>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</si>
  <si>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</si>
  <si>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</si>
  <si>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</si>
  <si>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</si>
  <si>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</si>
  <si>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</si>
  <si>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</si>
  <si>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</si>
  <si>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</si>
  <si>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</si>
  <si>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</si>
  <si>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</si>
  <si>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</si>
  <si>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</si>
  <si>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</si>
  <si>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</si>
  <si>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</si>
  <si>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</si>
  <si>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</si>
  <si>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</si>
  <si>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</si>
  <si>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</si>
  <si>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</si>
  <si>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</si>
  <si>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</si>
  <si>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</si>
  <si>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</si>
  <si>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</si>
  <si>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</si>
  <si>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</si>
  <si>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</si>
  <si>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</si>
  <si>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</si>
  <si>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</si>
  <si>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</si>
  <si>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</si>
  <si>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</si>
  <si>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</si>
  <si>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</si>
  <si>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</si>
  <si>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</si>
  <si>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</si>
  <si>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</si>
  <si>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</si>
  <si>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</si>
  <si>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</si>
  <si>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</si>
  <si>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</si>
  <si>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</si>
  <si>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</si>
  <si>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</si>
  <si>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</si>
  <si>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</si>
  <si>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</si>
  <si>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</si>
  <si>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</si>
  <si>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</si>
  <si>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</si>
  <si>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</si>
  <si>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</si>
  <si>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</si>
  <si>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</si>
  <si>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</si>
  <si>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</si>
  <si>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</si>
  <si>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</si>
  <si>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</si>
  <si>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</si>
  <si>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</si>
  <si>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</si>
  <si>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</si>
  <si>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</si>
  <si>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</si>
  <si>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</si>
  <si>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</si>
  <si>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</si>
  <si>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</si>
  <si>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</si>
  <si>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</si>
  <si>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</si>
  <si>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</si>
  <si>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</si>
  <si>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</si>
  <si>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</si>
  <si>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</si>
  <si>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</si>
  <si>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</si>
  <si>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</si>
  <si>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</si>
  <si>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</si>
  <si>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</si>
  <si>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</si>
  <si>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</si>
  <si>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</si>
  <si>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</si>
  <si>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</si>
  <si>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</si>
  <si>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</si>
  <si>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</si>
  <si>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</si>
  <si>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</si>
  <si>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</si>
  <si>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</si>
  <si>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</si>
  <si>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</si>
  <si>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</si>
  <si>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</si>
  <si>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</si>
  <si>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</si>
  <si>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</si>
  <si>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</si>
  <si>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</si>
  <si>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</si>
  <si>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</si>
  <si>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</si>
  <si>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</si>
  <si>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</si>
  <si>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</si>
  <si>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</si>
  <si>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</si>
  <si>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</si>
  <si>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</si>
  <si>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</si>
  <si>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</si>
  <si>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</si>
  <si>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</si>
  <si>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</si>
  <si>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</si>
  <si>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</si>
  <si>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</si>
  <si>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</si>
  <si>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</si>
  <si>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</si>
  <si>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</si>
  <si>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</si>
  <si>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</si>
  <si>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</si>
  <si>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</si>
  <si>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</si>
  <si>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</si>
  <si>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</si>
  <si>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</si>
  <si>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</si>
  <si>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</si>
  <si>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</si>
  <si>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</si>
  <si>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</si>
  <si>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</si>
  <si>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</si>
  <si>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</si>
  <si>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</si>
  <si>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</si>
  <si>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</si>
  <si>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</si>
  <si>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</si>
  <si>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</si>
  <si>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</si>
  <si>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</si>
  <si>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</si>
  <si>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</si>
  <si>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</si>
  <si>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</si>
  <si>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</si>
  <si>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</si>
  <si>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</si>
  <si>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</si>
  <si>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</si>
  <si>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</si>
  <si>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</si>
  <si>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</si>
  <si>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</si>
  <si>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</si>
  <si>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</si>
  <si>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</si>
  <si>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</si>
  <si>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</si>
  <si>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</si>
  <si>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</si>
  <si>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</si>
  <si>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</si>
  <si>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</si>
  <si>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</si>
  <si>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</si>
  <si>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</si>
  <si>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</si>
  <si>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</si>
  <si>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</si>
  <si>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</si>
  <si>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</si>
  <si>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</si>
  <si>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</si>
  <si>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</si>
  <si>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</si>
  <si>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</si>
  <si>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</si>
  <si>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</si>
  <si>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</si>
  <si>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</si>
  <si>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</si>
  <si>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</si>
  <si>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</si>
  <si>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</si>
  <si>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</si>
  <si>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</si>
  <si>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</si>
  <si>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</si>
  <si>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</si>
  <si>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</si>
  <si>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</si>
  <si>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</si>
  <si>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</si>
  <si>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</si>
  <si>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</si>
  <si>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</si>
  <si>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</si>
  <si>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</si>
  <si>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</si>
  <si>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</si>
  <si>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</si>
  <si>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</si>
  <si>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</si>
  <si>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</si>
  <si>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</si>
  <si>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</si>
  <si>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</si>
  <si>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</si>
  <si>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</si>
  <si>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</si>
  <si>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</si>
  <si>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</si>
  <si>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</si>
  <si>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</si>
  <si>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</si>
  <si>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</si>
  <si>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</si>
  <si>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</si>
  <si>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</si>
  <si>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</si>
  <si>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</si>
  <si>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</si>
  <si>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</si>
  <si>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</si>
  <si>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</si>
  <si>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</si>
  <si>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</si>
  <si>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</si>
  <si>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</si>
  <si>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</si>
  <si>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</si>
  <si>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</si>
  <si>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</si>
  <si>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</si>
  <si>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</si>
  <si>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</si>
  <si>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</si>
  <si>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</si>
  <si>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</si>
  <si>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</si>
  <si>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</si>
  <si>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</si>
  <si>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</si>
  <si>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</si>
  <si>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</si>
  <si>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</si>
  <si>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</si>
  <si>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</si>
  <si>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</si>
  <si>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</si>
  <si>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</si>
  <si>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</si>
  <si>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</si>
  <si>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</si>
  <si>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</si>
  <si>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</si>
  <si>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</si>
  <si>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</si>
  <si>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</si>
  <si>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</si>
  <si>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</si>
  <si>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</si>
  <si>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</si>
  <si>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</si>
  <si>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</si>
  <si>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</si>
  <si>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</si>
  <si>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</si>
  <si>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</si>
  <si>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</si>
  <si>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</si>
  <si>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</si>
  <si>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</si>
  <si>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</si>
  <si>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</si>
  <si>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</si>
  <si>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</si>
  <si>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</si>
  <si>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</si>
  <si>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</si>
  <si>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</si>
  <si>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</si>
  <si>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</si>
  <si>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</si>
  <si>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</si>
  <si>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</si>
  <si>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</si>
  <si>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</si>
  <si>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</si>
  <si>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</si>
  <si>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</si>
  <si>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</si>
  <si>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</si>
  <si>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</si>
  <si>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</si>
  <si>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</si>
  <si>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</si>
  <si>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</si>
  <si>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</si>
  <si>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</si>
  <si>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</si>
  <si>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</si>
  <si>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</si>
  <si>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</si>
  <si>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</si>
  <si>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</si>
  <si>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</si>
  <si>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</si>
  <si>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</si>
  <si>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</si>
  <si>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</si>
  <si>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</si>
  <si>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</si>
  <si>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</si>
  <si>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</si>
  <si>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</si>
  <si>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</si>
  <si>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</si>
  <si>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</si>
  <si>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</si>
  <si>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</si>
  <si>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</si>
  <si>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</si>
  <si>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</si>
  <si>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</si>
  <si>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</si>
  <si>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</si>
  <si>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</si>
  <si>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</si>
  <si>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</si>
  <si>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</si>
  <si>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</si>
  <si>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</si>
  <si>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</si>
  <si>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</si>
  <si>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</si>
  <si>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</si>
  <si>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</si>
  <si>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</si>
  <si>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</si>
  <si>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</si>
  <si>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</si>
  <si>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</si>
  <si>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</si>
  <si>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</si>
  <si>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</si>
  <si>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</si>
  <si>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</si>
  <si>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</si>
  <si>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</si>
  <si>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</si>
  <si>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</si>
  <si>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</si>
  <si>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</si>
  <si>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</si>
  <si>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</si>
  <si>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</si>
  <si>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</si>
  <si>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</si>
  <si>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</si>
  <si>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</si>
  <si>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</si>
  <si>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</si>
  <si>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</si>
  <si>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</si>
  <si>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</si>
  <si>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</si>
  <si>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</si>
  <si>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</si>
  <si>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</si>
  <si>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</si>
  <si>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</si>
  <si>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</si>
  <si>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</si>
  <si>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</si>
  <si>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</si>
  <si>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</si>
  <si>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</si>
  <si>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</si>
  <si>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</si>
  <si>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</si>
  <si>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</si>
  <si>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</si>
  <si>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</si>
  <si>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</si>
  <si>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</si>
  <si>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</si>
  <si>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</si>
  <si>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</si>
  <si>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</si>
  <si>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</si>
  <si>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</si>
  <si>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</si>
  <si>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</si>
  <si>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</si>
  <si>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</si>
  <si>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</si>
  <si>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</si>
  <si>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</si>
  <si>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</si>
  <si>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</si>
  <si>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</si>
  <si>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</si>
  <si>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</si>
  <si>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</si>
  <si>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</si>
  <si>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</si>
  <si>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</si>
  <si>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</si>
  <si>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</si>
  <si>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</si>
  <si>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</si>
  <si>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</si>
  <si>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</si>
  <si>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</si>
  <si>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</si>
  <si>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</si>
  <si>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</si>
  <si>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</si>
  <si>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</si>
  <si>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</si>
  <si>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</si>
  <si>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</si>
  <si>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</si>
  <si>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</si>
  <si>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</si>
  <si>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</si>
  <si>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</si>
  <si>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</si>
  <si>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</si>
  <si>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</si>
  <si>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</si>
  <si>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</si>
  <si>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</si>
  <si>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</si>
  <si>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</si>
  <si>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</si>
  <si>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</si>
  <si>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</si>
  <si>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</si>
  <si>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</si>
  <si>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</si>
  <si>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</si>
  <si>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</si>
  <si>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</si>
  <si>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</si>
  <si>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</si>
  <si>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</si>
  <si>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</si>
  <si>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</si>
  <si>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</si>
  <si>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</si>
  <si>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</si>
  <si>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</si>
  <si>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</si>
  <si>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</si>
  <si>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</si>
  <si>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</si>
  <si>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</si>
  <si>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</si>
  <si>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</si>
  <si>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</si>
  <si>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</si>
  <si>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</si>
  <si>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</si>
  <si>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</si>
  <si>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</si>
  <si>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</si>
  <si>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</si>
  <si>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</si>
  <si>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</si>
  <si>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</si>
  <si>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</si>
  <si>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</si>
  <si>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</si>
  <si>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</si>
  <si>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</si>
  <si>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</si>
  <si>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</si>
  <si>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</si>
  <si>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</si>
  <si>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</si>
  <si>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</si>
  <si>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</si>
  <si>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</si>
  <si>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</si>
  <si>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</si>
  <si>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</si>
  <si>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</si>
  <si>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</si>
  <si>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</si>
  <si>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</si>
  <si>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</si>
  <si>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</si>
  <si>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</si>
  <si>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</si>
  <si>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</si>
  <si>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</si>
  <si>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</si>
  <si>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</si>
  <si>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</si>
  <si>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</si>
  <si>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</si>
  <si>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</si>
  <si>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</si>
  <si>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</si>
  <si>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</si>
  <si>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</si>
  <si>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</si>
  <si>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</si>
  <si>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</si>
  <si>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</si>
  <si>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</si>
  <si>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</si>
  <si>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</si>
  <si>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</si>
  <si>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</si>
  <si>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</si>
  <si>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</si>
  <si>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</si>
  <si>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</si>
  <si>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</si>
  <si>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</si>
  <si>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</si>
  <si>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</si>
  <si>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</si>
  <si>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</si>
  <si>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</si>
  <si>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</si>
  <si>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</si>
  <si>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</si>
  <si>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</si>
  <si>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</si>
  <si>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</si>
  <si>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</si>
  <si>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</si>
  <si>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</si>
  <si>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</si>
  <si>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</si>
  <si>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</si>
  <si>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</si>
  <si>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</si>
  <si>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</si>
  <si>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</si>
  <si>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</si>
  <si>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</si>
  <si>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</si>
  <si>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</si>
  <si>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</si>
  <si>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</si>
  <si>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</si>
  <si>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</si>
  <si>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</si>
  <si>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</si>
  <si>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</si>
  <si>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</si>
  <si>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</si>
  <si>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</si>
  <si>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</si>
  <si>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</si>
  <si>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</si>
  <si>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</si>
  <si>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</si>
  <si>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</si>
  <si>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</si>
  <si>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</si>
  <si>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</si>
  <si>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</si>
  <si>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</si>
  <si>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</si>
  <si>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</si>
  <si>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</si>
  <si>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</si>
  <si>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</si>
  <si>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</si>
  <si>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</si>
  <si>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</si>
  <si>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</si>
  <si>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</si>
  <si>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</si>
  <si>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</si>
  <si>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</si>
  <si>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</si>
  <si>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</si>
  <si>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</si>
  <si>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</si>
  <si>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</si>
  <si>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</si>
  <si>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</si>
  <si>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</si>
  <si>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</si>
  <si>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</si>
  <si>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</si>
  <si>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</si>
  <si>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</si>
  <si>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</si>
  <si>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</si>
  <si>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</si>
  <si>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</si>
  <si>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</si>
  <si>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</si>
  <si>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</si>
  <si>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</si>
  <si>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</si>
  <si>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</si>
  <si>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</si>
  <si>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</si>
  <si>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</si>
  <si>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</si>
  <si>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</si>
  <si>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</si>
  <si>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</si>
  <si>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</si>
  <si>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</si>
  <si>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</si>
  <si>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</si>
  <si>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</si>
  <si>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</si>
  <si>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</si>
  <si>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</si>
  <si>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</si>
  <si>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</si>
  <si>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</si>
  <si>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</si>
  <si>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</si>
  <si>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</si>
  <si>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</si>
  <si>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</si>
  <si>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</si>
  <si>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</si>
  <si>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</si>
  <si>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</si>
  <si>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</si>
  <si>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</si>
  <si>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</si>
  <si>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</si>
  <si>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</si>
  <si>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</si>
  <si>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</si>
  <si>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</si>
  <si>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</si>
  <si>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</si>
  <si>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</si>
  <si>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</si>
  <si>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</si>
  <si>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</si>
  <si>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</si>
  <si>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</si>
  <si>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</si>
  <si>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</si>
  <si>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</si>
  <si>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</si>
  <si>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</si>
  <si>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</si>
  <si>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</si>
  <si>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</si>
  <si>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</si>
  <si>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</si>
  <si>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</si>
  <si>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</si>
  <si>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</si>
  <si>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</si>
  <si>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</si>
  <si>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</si>
  <si>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</si>
  <si>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</si>
  <si>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</si>
  <si>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</si>
  <si>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</si>
  <si>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</si>
  <si>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</si>
  <si>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</si>
  <si>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</si>
  <si>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</si>
  <si>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</si>
  <si>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</si>
  <si>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</si>
  <si>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</si>
  <si>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</si>
  <si>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</si>
  <si>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</si>
  <si>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</si>
  <si>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</si>
  <si>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</si>
  <si>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</si>
  <si>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</si>
  <si>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</si>
  <si>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</si>
  <si>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</si>
  <si>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</si>
  <si>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</si>
  <si>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</si>
  <si>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</si>
  <si>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</si>
  <si>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</si>
  <si>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</si>
  <si>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</si>
  <si>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CANARIAS</t>
  </si>
  <si>
    <t>Provincias</t>
  </si>
  <si>
    <t>LAS PALMAS</t>
  </si>
  <si>
    <t>Resumenes por Partidos Judiciales</t>
  </si>
  <si>
    <t>PUERTO DEL ROSARIO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</si>
</sst>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sTrAt8HvOviLYGG6BsgLvdVWygTz94e8oiSTErmZ8w8Wjx+jU8EnXIst/fsCOfT5ax4aoo6dFT2uF6aVYdvKHA==" saltValue="y7CM1Q9HK90teXWGc82Fa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CANARIAS</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29</v>
      </c>
      <c r="D10" s="229">
        <f>IF(ISNUMBER(Datos!I10),Datos!I10," - ")</f>
        <v>29</v>
      </c>
      <c r="E10" s="230">
        <f>IF(ISNUMBER(Datos!J10),Datos!J10," - ")</f>
        <v>24</v>
      </c>
      <c r="F10" s="230">
        <f>IF(ISNUMBER(Datos!K10),Datos!K10," - ")</f>
        <v>18</v>
      </c>
      <c r="G10" s="1189" t="str">
        <f>IF(Datos!E10&lt;&gt;"",Datos!E10,Datos!D10)</f>
        <v>37</v>
      </c>
      <c r="H10" s="231">
        <f>IF(ISNUMBER(Datos!L10),Datos!L10," - ")</f>
        <v>35</v>
      </c>
      <c r="I10" s="1199" t="str">
        <f>IF(ISNUMBER(Datos!AS10/Datos!BM10),Datos!AS10/Datos!BM10," - ")</f>
        <v xml:space="preserve"> - </v>
      </c>
      <c r="J10" s="1200">
        <f>IF(ISNUMBER(Datos!BY10/Datos!CN10),Datos!BY10/Datos!CN10," - ")</f>
        <v>0</v>
      </c>
      <c r="K10" s="234">
        <f t="shared" ref="K10:K12" si="1">IF(ISNUMBER((E10-F10)/C10),(E10-F10)/C10," - ")</f>
        <v>0.20689655172413793</v>
      </c>
      <c r="L10" s="1201">
        <f>IF(ISNUMBER(NºAsuntos!I10/NºAsuntos!G10),(NºAsuntos!I10/NºAsuntos!G10)*11," - ")</f>
        <v>21.388888888888889</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7</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42.569004524886878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29</v>
      </c>
      <c r="D13" s="1206">
        <f>SUBTOTAL(9,D9:D12)</f>
        <v>29</v>
      </c>
      <c r="E13" s="1207">
        <f>SUBTOTAL(9,E9:E12)</f>
        <v>24</v>
      </c>
      <c r="F13" s="1208">
        <f>SUBTOTAL(9,F9:F12)</f>
        <v>18</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7</v>
      </c>
      <c r="B16" s="1254" t="str">
        <f>Datos!A16</f>
        <v xml:space="preserve">Jdos. 1ª Instª. e Instr.                        </v>
      </c>
      <c r="C16" s="229">
        <f t="shared" si="2"/>
        <v>1943</v>
      </c>
      <c r="D16" s="229">
        <f>IF(ISNUMBER(IF(D_I="SI",Datos!I16,Datos!I16+Datos!AC16)),IF(D_I="SI",Datos!I16,Datos!I16+Datos!AC16)," - ")</f>
        <v>1967</v>
      </c>
      <c r="E16" s="230">
        <f>IF(ISNUMBER(IF(D_I="SI",Datos!J16,Datos!J16+Datos!AD16)),IF(D_I="SI",Datos!J16,Datos!J16+Datos!AD16)," - ")</f>
        <v>2040</v>
      </c>
      <c r="F16" s="230">
        <f>IF(ISNUMBER(IF(D_I="SI",Datos!K16,Datos!K16+Datos!AE16)),IF(D_I="SI",Datos!K16,Datos!K16+Datos!AE16)," - ")</f>
        <v>1675</v>
      </c>
      <c r="G16" s="1189" t="str">
        <f>IF(Datos!E16&lt;&gt;"",Datos!E16,Datos!D16)</f>
        <v>04</v>
      </c>
      <c r="H16" s="231">
        <f>IF(ISNUMBER(IF(D_I="SI",Datos!L16,Datos!L16+Datos!AF16)),IF(D_I="SI",Datos!L16,Datos!L16+Datos!AF16)," - ")</f>
        <v>2308</v>
      </c>
      <c r="I16" s="1199" t="str">
        <f>IF(ISNUMBER(Datos!AS16/Datos!BM16),Datos!AS16/Datos!BM16," - ")</f>
        <v xml:space="preserve"> - </v>
      </c>
      <c r="J16" s="1200">
        <f>IF(ISNUMBER(Datos!BY16/Datos!CN16),Datos!BY16/Datos!CN16," - ")</f>
        <v>0</v>
      </c>
      <c r="K16" s="234">
        <f t="shared" si="3"/>
        <v>0.1878538342768914</v>
      </c>
      <c r="L16" s="1201">
        <f>IF(ISNUMBER(NºAsuntos!I16/NºAsuntos!G16),(NºAsuntos!I16/NºAsuntos!G16)*11," - ")</f>
        <v>15.157014925373135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85</v>
      </c>
      <c r="D17" s="229">
        <f>IF(ISNUMBER(IF(D_I="SI",Datos!I17,Datos!I17+Datos!AC17)),IF(D_I="SI",Datos!I17,Datos!I17+Datos!AC17)," - ")</f>
        <v>81</v>
      </c>
      <c r="E17" s="230">
        <f>IF(ISNUMBER(IF(D_I="SI",Datos!J17,Datos!J17+Datos!AD17)),IF(D_I="SI",Datos!J17,Datos!J17+Datos!AD17)," - ")</f>
        <v>293</v>
      </c>
      <c r="F17" s="230">
        <f>IF(ISNUMBER(IF(D_I="SI",Datos!K17,Datos!K17+Datos!AE17)),IF(D_I="SI",Datos!K17,Datos!K17+Datos!AE17)," - ")</f>
        <v>259</v>
      </c>
      <c r="G17" s="1189" t="str">
        <f>IF(Datos!E17&lt;&gt;"",Datos!E17,Datos!D17)</f>
        <v>37</v>
      </c>
      <c r="H17" s="231">
        <f>IF(ISNUMBER(IF(D_I="SI",Datos!L17,Datos!L17+Datos!AF17)),IF(D_I="SI",Datos!L17,Datos!L17+Datos!AF17)," - ")</f>
        <v>119</v>
      </c>
      <c r="I17" s="1199" t="str">
        <f>IF(ISNUMBER(Datos!AS17/Datos!BM17),Datos!AS17/Datos!BM17," - ")</f>
        <v xml:space="preserve"> - </v>
      </c>
      <c r="J17" s="1200" t="str">
        <f>IF(ISNUMBER((Datos!BY17+Datos!BZ17)/Datos!CN17),(Datos!BY17+Datos!BZ17)/Datos!CN17," - ")</f>
        <v xml:space="preserve"> - </v>
      </c>
      <c r="K17" s="234">
        <f t="shared" si="3"/>
        <v>0.4</v>
      </c>
      <c r="L17" s="1201">
        <f>IF(ISNUMBER(NºAsuntos!I17/NºAsuntos!G17),(NºAsuntos!I17/NºAsuntos!G17)*11," - ")</f>
        <v>5.0540540540540544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2028</v>
      </c>
      <c r="D18" s="1206">
        <f>SUBTOTAL(9,D15:D17)</f>
        <v>2048</v>
      </c>
      <c r="E18" s="1207">
        <f>SUBTOTAL(9,E15:E17)</f>
        <v>2333</v>
      </c>
      <c r="F18" s="1207">
        <f>SUBTOTAL(9,F15:F17)</f>
        <v>1934</v>
      </c>
      <c r="G18" s="1209" t="str">
        <f ca="1">INDIRECT(CONCATENATE("G",ROW()-1))</f>
        <v>37</v>
      </c>
      <c r="H18" s="1210">
        <f ca="1">SUMIF(G$14:G17,G18,H$14:H17)</f>
        <v>119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2057</v>
      </c>
      <c r="D19" s="1228">
        <f>SUBTOTAL(9,D9:D18)</f>
        <v>2077</v>
      </c>
      <c r="E19" s="1229">
        <f>SUBTOTAL(9,E9:E18)</f>
        <v>2357</v>
      </c>
      <c r="F19" s="1229">
        <f>SUBTOTAL(9,F9:F18)</f>
        <v>1952</v>
      </c>
      <c r="G19" s="1230"/>
      <c r="H19" s="1231">
        <f ca="1">SUMIF(B9:B18,"TOTAL",H9:H18)</f>
        <v>119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cErSEFkhi4YbsLQ5ouqFjJqtv52NQUBNJSYm6JmrL0WaOkF7W8PgYiCvyW4s2pte33jB976lmDQOWi9IyMt/9Q==" saltValue="/rOfjEm+31P7wnSs5skUf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Pwc7VUaTN2fldTqdS08yKVu1Hl9+5B3JXqqmhD5OiMeTizDt/6pUc8UlFcq3MkbKggz8GN62KTFqk1UgONfj0w==" saltValue="7jXoDBN4xwD1kEzURe1FJ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29</v>
      </c>
      <c r="J10" s="185">
        <v>24</v>
      </c>
      <c r="K10" s="185">
        <v>18</v>
      </c>
      <c r="L10" s="185">
        <v>35</v>
      </c>
      <c r="M10" s="185">
        <v>6</v>
      </c>
      <c r="N10" s="185">
        <v>8</v>
      </c>
      <c r="O10" s="185">
        <v>4</v>
      </c>
      <c r="P10" s="185">
        <v>1</v>
      </c>
      <c r="Q10" s="185">
        <v>4</v>
      </c>
      <c r="R10" s="185">
        <v>20</v>
      </c>
      <c r="S10" s="185">
        <v>45</v>
      </c>
      <c r="T10" s="185">
        <v>27</v>
      </c>
      <c r="U10" s="185">
        <v>37</v>
      </c>
      <c r="V10" s="185">
        <v>36</v>
      </c>
      <c r="W10" s="185">
        <v>13</v>
      </c>
      <c r="X10" s="192">
        <v>21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45</v>
      </c>
      <c r="AZ10" s="130">
        <f t="shared" si="0"/>
        <v>27</v>
      </c>
      <c r="BA10" s="130">
        <f t="shared" si="0"/>
        <v>37</v>
      </c>
      <c r="BB10" s="130">
        <f t="shared" si="0"/>
        <v>36</v>
      </c>
      <c r="BC10" s="126">
        <f t="shared" si="0"/>
        <v>13</v>
      </c>
      <c r="BD10" s="127">
        <f>IF(ISNUMBER(BA10/AZ10),BA10/AZ10," - ")</f>
        <v>1.3703703703703705</v>
      </c>
      <c r="BE10" s="128">
        <f>IF(ISNUMBER(BB10/BA10),BB10/BA10, " - ")</f>
        <v>0.97297297297297303</v>
      </c>
      <c r="BF10" s="128">
        <f>IF(ISNUMBER(BC10/BA10),BC10/BA10, " - ")</f>
        <v>0.35135135135135137</v>
      </c>
      <c r="BG10" s="200">
        <f>IF(ISNUMBER((AY10+AZ10)/BA10),(AY10+AZ10)/BA10," - ")</f>
        <v>1.9459459459459461</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6447</v>
      </c>
      <c r="J12" s="187">
        <v>2151</v>
      </c>
      <c r="K12" s="187">
        <v>1684</v>
      </c>
      <c r="L12" s="187">
        <v>6735</v>
      </c>
      <c r="M12" s="187">
        <v>329</v>
      </c>
      <c r="N12" s="187">
        <v>973</v>
      </c>
      <c r="O12" s="185">
        <v>475</v>
      </c>
      <c r="P12" s="187">
        <v>262</v>
      </c>
      <c r="Q12" s="187">
        <v>216</v>
      </c>
      <c r="R12" s="187">
        <v>6109</v>
      </c>
      <c r="S12" s="187">
        <v>5873</v>
      </c>
      <c r="T12" s="187">
        <v>2018</v>
      </c>
      <c r="U12" s="187">
        <v>2120</v>
      </c>
      <c r="V12" s="187">
        <v>5906</v>
      </c>
      <c r="W12" s="187">
        <v>384</v>
      </c>
      <c r="X12" s="193">
        <v>1371</v>
      </c>
      <c r="Y12" s="195">
        <v>107</v>
      </c>
      <c r="Z12" s="185">
        <v>84</v>
      </c>
      <c r="AA12" s="185">
        <v>84</v>
      </c>
      <c r="AB12" s="185">
        <v>107</v>
      </c>
      <c r="AC12" s="187">
        <v>0</v>
      </c>
      <c r="AD12" s="187">
        <v>0</v>
      </c>
      <c r="AE12" s="187">
        <v>0</v>
      </c>
      <c r="AF12" s="193">
        <v>0</v>
      </c>
      <c r="AG12" s="206">
        <v>125</v>
      </c>
      <c r="AH12" s="187">
        <v>111</v>
      </c>
      <c r="AI12" s="187">
        <v>106</v>
      </c>
      <c r="AJ12" s="207">
        <v>124</v>
      </c>
      <c r="AK12" s="186">
        <v>0</v>
      </c>
      <c r="AL12" s="187">
        <v>0</v>
      </c>
      <c r="AM12" s="187">
        <v>0</v>
      </c>
      <c r="AN12" s="193">
        <v>0</v>
      </c>
      <c r="AO12" s="263">
        <v>7</v>
      </c>
      <c r="AP12" s="159">
        <v>7</v>
      </c>
      <c r="AQ12" s="159">
        <v>7</v>
      </c>
      <c r="AR12" s="158">
        <v>7</v>
      </c>
      <c r="AS12" s="349" t="s">
        <v>811</v>
      </c>
      <c r="AT12" s="207"/>
      <c r="AU12" s="206"/>
      <c r="AV12" s="207"/>
      <c r="AW12" s="206"/>
      <c r="AX12" s="207"/>
      <c r="AY12" s="127">
        <f t="shared" si="1"/>
        <v>5998</v>
      </c>
      <c r="AZ12" s="128">
        <f t="shared" si="1"/>
        <v>2129</v>
      </c>
      <c r="BA12" s="128">
        <f t="shared" si="1"/>
        <v>2226</v>
      </c>
      <c r="BB12" s="128">
        <f t="shared" si="1"/>
        <v>6030</v>
      </c>
      <c r="BC12" s="126">
        <f>IF(ISNUMBER(X12),X12," - ")</f>
        <v>1371</v>
      </c>
      <c r="BD12" s="127">
        <f t="shared" si="2"/>
        <v>1.0455612963832785</v>
      </c>
      <c r="BE12" s="128">
        <f t="shared" si="3"/>
        <v>2.7088948787061993</v>
      </c>
      <c r="BF12" s="128">
        <f t="shared" si="4"/>
        <v>0.61590296495956875</v>
      </c>
      <c r="BG12" s="200">
        <f t="shared" si="5"/>
        <v>3.6509433962264151</v>
      </c>
      <c r="BH12" s="159">
        <v>7</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6476</v>
      </c>
      <c r="J13" s="188">
        <f t="shared" si="6"/>
        <v>2175</v>
      </c>
      <c r="K13" s="188">
        <f t="shared" si="6"/>
        <v>1702</v>
      </c>
      <c r="L13" s="188">
        <f t="shared" si="6"/>
        <v>6770</v>
      </c>
      <c r="M13" s="188">
        <f t="shared" si="6"/>
        <v>335</v>
      </c>
      <c r="N13" s="188">
        <f t="shared" si="6"/>
        <v>981</v>
      </c>
      <c r="O13" s="188">
        <f t="shared" si="6"/>
        <v>479</v>
      </c>
      <c r="P13" s="188">
        <f t="shared" si="6"/>
        <v>263</v>
      </c>
      <c r="Q13" s="188">
        <f t="shared" si="6"/>
        <v>220</v>
      </c>
      <c r="R13" s="188">
        <f t="shared" si="6"/>
        <v>6129</v>
      </c>
      <c r="S13" s="188">
        <f t="shared" si="6"/>
        <v>5918</v>
      </c>
      <c r="T13" s="188">
        <f t="shared" si="6"/>
        <v>2045</v>
      </c>
      <c r="U13" s="188">
        <f t="shared" si="6"/>
        <v>2157</v>
      </c>
      <c r="V13" s="188">
        <f t="shared" si="6"/>
        <v>5942</v>
      </c>
      <c r="W13" s="188">
        <f t="shared" si="6"/>
        <v>397</v>
      </c>
      <c r="X13" s="188">
        <f t="shared" si="6"/>
        <v>1392</v>
      </c>
      <c r="Y13" s="188">
        <f t="shared" si="6"/>
        <v>107</v>
      </c>
      <c r="Z13" s="188">
        <f t="shared" si="6"/>
        <v>84</v>
      </c>
      <c r="AA13" s="188">
        <f t="shared" si="6"/>
        <v>84</v>
      </c>
      <c r="AB13" s="188">
        <f t="shared" si="6"/>
        <v>107</v>
      </c>
      <c r="AC13" s="188">
        <f t="shared" si="6"/>
        <v>0</v>
      </c>
      <c r="AD13" s="188">
        <f t="shared" si="6"/>
        <v>0</v>
      </c>
      <c r="AE13" s="188">
        <f t="shared" si="6"/>
        <v>0</v>
      </c>
      <c r="AF13" s="188">
        <f>SUBTOTAL(9,AF9:AF12)</f>
        <v>0</v>
      </c>
      <c r="AG13" s="188">
        <f t="shared" ref="AG13:AT13" si="7">SUBTOTAL(9,AG8:AG12)</f>
        <v>125</v>
      </c>
      <c r="AH13" s="188">
        <f t="shared" si="7"/>
        <v>111</v>
      </c>
      <c r="AI13" s="188">
        <f t="shared" si="7"/>
        <v>106</v>
      </c>
      <c r="AJ13" s="188">
        <f t="shared" si="7"/>
        <v>124</v>
      </c>
      <c r="AK13" s="188">
        <f t="shared" si="7"/>
        <v>0</v>
      </c>
      <c r="AL13" s="188">
        <f t="shared" si="7"/>
        <v>0</v>
      </c>
      <c r="AM13" s="188">
        <f t="shared" si="7"/>
        <v>0</v>
      </c>
      <c r="AN13" s="188">
        <f t="shared" si="7"/>
        <v>0</v>
      </c>
      <c r="AO13" s="188">
        <f t="shared" si="7"/>
        <v>8</v>
      </c>
      <c r="AP13" s="188">
        <f t="shared" si="7"/>
        <v>7</v>
      </c>
      <c r="AQ13" s="188">
        <f t="shared" si="7"/>
        <v>7</v>
      </c>
      <c r="AR13" s="188">
        <f t="shared" si="7"/>
        <v>7</v>
      </c>
      <c r="AS13" s="188">
        <f t="shared" si="7"/>
        <v>0</v>
      </c>
      <c r="AT13" s="188">
        <f t="shared" si="7"/>
        <v>0</v>
      </c>
      <c r="AU13" s="208"/>
      <c r="AV13" s="133"/>
      <c r="AW13" s="208"/>
      <c r="AX13" s="133"/>
      <c r="AY13" s="188">
        <f>SUBTOTAL(9,AY8:AY12)</f>
        <v>6043</v>
      </c>
      <c r="AZ13" s="188">
        <f>SUBTOTAL(9,AZ8:AZ12)</f>
        <v>2156</v>
      </c>
      <c r="BA13" s="188">
        <f>SUBTOTAL(9,BA8:BA12)</f>
        <v>2263</v>
      </c>
      <c r="BB13" s="188">
        <f>SUBTOTAL(9,BB8:BB12)</f>
        <v>6066</v>
      </c>
      <c r="BC13" s="188">
        <f>SUBTOTAL(9,BC8:BC12)</f>
        <v>1384</v>
      </c>
      <c r="BD13" s="209">
        <f>IF(ISNUMBER(BA13/AZ13),BA13/AZ13," - ")</f>
        <v>1.0496289424860854</v>
      </c>
      <c r="BE13" s="210">
        <f>IF(ISNUMBER(BB13/BA13),BB13/BA13, " - ")</f>
        <v>2.6805125939019003</v>
      </c>
      <c r="BF13" s="210">
        <f>IF(ISNUMBER(BC13/BA13),BC13/BA13, " - ")</f>
        <v>0.61157755192222718</v>
      </c>
      <c r="BG13" s="211">
        <f>IF(ISNUMBER((AY13+AZ13)/BA13),(AY13+AZ13)/BA13," - ")</f>
        <v>3.623066725585506</v>
      </c>
      <c r="BH13" s="144">
        <f>SUBTOTAL(9,BH8:BH12)</f>
        <v>8</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1967</v>
      </c>
      <c r="J16" s="187">
        <v>2040</v>
      </c>
      <c r="K16" s="187">
        <v>1675</v>
      </c>
      <c r="L16" s="187">
        <v>2308</v>
      </c>
      <c r="M16" s="187">
        <v>247</v>
      </c>
      <c r="N16" s="187">
        <v>1246</v>
      </c>
      <c r="O16" s="185">
        <v>0</v>
      </c>
      <c r="P16" s="187">
        <v>51</v>
      </c>
      <c r="Q16" s="187">
        <v>43</v>
      </c>
      <c r="R16" s="187">
        <v>438</v>
      </c>
      <c r="S16" s="187">
        <v>2136</v>
      </c>
      <c r="T16" s="187">
        <v>1712</v>
      </c>
      <c r="U16" s="187">
        <v>1812</v>
      </c>
      <c r="V16" s="187">
        <v>1797</v>
      </c>
      <c r="W16" s="187">
        <v>239</v>
      </c>
      <c r="X16" s="193">
        <v>1275</v>
      </c>
      <c r="Y16" s="206">
        <v>0</v>
      </c>
      <c r="Z16" s="187">
        <v>0</v>
      </c>
      <c r="AA16" s="187">
        <v>0</v>
      </c>
      <c r="AB16" s="187">
        <v>0</v>
      </c>
      <c r="AC16" s="187">
        <v>70</v>
      </c>
      <c r="AD16" s="187">
        <v>4</v>
      </c>
      <c r="AE16" s="187">
        <v>2</v>
      </c>
      <c r="AF16" s="193">
        <v>72</v>
      </c>
      <c r="AG16" s="206">
        <v>0</v>
      </c>
      <c r="AH16" s="187">
        <v>0</v>
      </c>
      <c r="AI16" s="187">
        <v>0</v>
      </c>
      <c r="AJ16" s="207">
        <v>0</v>
      </c>
      <c r="AK16" s="186">
        <v>13</v>
      </c>
      <c r="AL16" s="187">
        <v>78</v>
      </c>
      <c r="AM16" s="187">
        <v>20</v>
      </c>
      <c r="AN16" s="193">
        <v>71</v>
      </c>
      <c r="AO16" s="263">
        <v>7</v>
      </c>
      <c r="AP16" s="159">
        <v>7</v>
      </c>
      <c r="AQ16" s="159">
        <v>7</v>
      </c>
      <c r="AR16" s="159">
        <v>7</v>
      </c>
      <c r="AS16" s="349" t="s">
        <v>491</v>
      </c>
      <c r="AT16" s="207"/>
      <c r="AU16" s="206"/>
      <c r="AV16" s="207"/>
      <c r="AW16" s="206"/>
      <c r="AX16" s="207"/>
      <c r="AY16" s="127">
        <f t="shared" si="9"/>
        <v>2136</v>
      </c>
      <c r="AZ16" s="128">
        <f t="shared" si="9"/>
        <v>1712</v>
      </c>
      <c r="BA16" s="128">
        <f t="shared" si="9"/>
        <v>1812</v>
      </c>
      <c r="BB16" s="128">
        <f t="shared" si="9"/>
        <v>1797</v>
      </c>
      <c r="BC16" s="126">
        <f>IF(ISNUMBER(W16),W16," - ")</f>
        <v>239</v>
      </c>
      <c r="BD16" s="127">
        <f t="shared" ref="BD16" si="11">IF(ISNUMBER(BA16/AZ16),BA16/AZ16," - ")</f>
        <v>1.058411214953271</v>
      </c>
      <c r="BE16" s="128">
        <f t="shared" ref="BE16" si="12">IF(ISNUMBER(BB16/BA16),BB16/BA16, " - ")</f>
        <v>0.99172185430463577</v>
      </c>
      <c r="BF16" s="128">
        <f t="shared" ref="BF16" si="13">IF(ISNUMBER(BC16/BA16),BC16/BA16, " - ")</f>
        <v>0.13189845474613687</v>
      </c>
      <c r="BG16" s="200">
        <f t="shared" si="10"/>
        <v>2.1236203090507728</v>
      </c>
      <c r="BH16" s="159">
        <v>7</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81</v>
      </c>
      <c r="J17" s="187">
        <v>293</v>
      </c>
      <c r="K17" s="187">
        <v>259</v>
      </c>
      <c r="L17" s="187">
        <v>119</v>
      </c>
      <c r="M17" s="187">
        <v>51</v>
      </c>
      <c r="N17" s="187">
        <v>145</v>
      </c>
      <c r="O17" s="187">
        <v>6</v>
      </c>
      <c r="P17" s="187">
        <v>6</v>
      </c>
      <c r="Q17" s="187">
        <v>6</v>
      </c>
      <c r="R17" s="187">
        <v>24</v>
      </c>
      <c r="S17" s="187">
        <v>61</v>
      </c>
      <c r="T17" s="187">
        <v>222</v>
      </c>
      <c r="U17" s="187">
        <v>223</v>
      </c>
      <c r="V17" s="187">
        <v>64</v>
      </c>
      <c r="W17" s="187">
        <v>53</v>
      </c>
      <c r="X17" s="193">
        <v>128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61</v>
      </c>
      <c r="AZ17" s="130">
        <f t="shared" si="14"/>
        <v>222</v>
      </c>
      <c r="BA17" s="130">
        <f t="shared" si="14"/>
        <v>223</v>
      </c>
      <c r="BB17" s="130">
        <f t="shared" si="14"/>
        <v>64</v>
      </c>
      <c r="BC17" s="126">
        <f>IF(ISNUMBER(W17),W17," - ")</f>
        <v>53</v>
      </c>
      <c r="BD17" s="127">
        <f>IF(ISNUMBER(BA17/AZ17),BA17/AZ17," - ")</f>
        <v>1.0045045045045045</v>
      </c>
      <c r="BE17" s="128">
        <f>IF(ISNUMBER(BB17/BA17),BB17/BA17, " - ")</f>
        <v>0.28699551569506726</v>
      </c>
      <c r="BF17" s="128">
        <f>IF(ISNUMBER(BC17/BA17),BC17/BA17, " - ")</f>
        <v>0.23766816143497757</v>
      </c>
      <c r="BG17" s="200">
        <f>IF(ISNUMBER((AY17+AZ17)/BA17),(AY17+AZ17)/BA17," - ")</f>
        <v>1.2690582959641257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2048</v>
      </c>
      <c r="J18" s="188">
        <f t="shared" si="15"/>
        <v>2333</v>
      </c>
      <c r="K18" s="188">
        <f t="shared" si="15"/>
        <v>1934</v>
      </c>
      <c r="L18" s="188">
        <f t="shared" si="15"/>
        <v>2427</v>
      </c>
      <c r="M18" s="188">
        <f t="shared" si="15"/>
        <v>298</v>
      </c>
      <c r="N18" s="188">
        <f t="shared" si="15"/>
        <v>1391</v>
      </c>
      <c r="O18" s="188">
        <f t="shared" si="15"/>
        <v>6</v>
      </c>
      <c r="P18" s="188">
        <f t="shared" si="15"/>
        <v>57</v>
      </c>
      <c r="Q18" s="188">
        <f t="shared" si="15"/>
        <v>49</v>
      </c>
      <c r="R18" s="188">
        <f t="shared" si="15"/>
        <v>462</v>
      </c>
      <c r="S18" s="188">
        <f t="shared" si="15"/>
        <v>2197</v>
      </c>
      <c r="T18" s="188">
        <f t="shared" si="15"/>
        <v>1934</v>
      </c>
      <c r="U18" s="188">
        <f t="shared" si="15"/>
        <v>2035</v>
      </c>
      <c r="V18" s="188">
        <f t="shared" si="15"/>
        <v>1861</v>
      </c>
      <c r="W18" s="188">
        <f t="shared" si="15"/>
        <v>292</v>
      </c>
      <c r="X18" s="188">
        <f t="shared" si="15"/>
        <v>1403</v>
      </c>
      <c r="Y18" s="188">
        <f t="shared" si="15"/>
        <v>0</v>
      </c>
      <c r="Z18" s="188">
        <f t="shared" si="15"/>
        <v>0</v>
      </c>
      <c r="AA18" s="188">
        <f t="shared" si="15"/>
        <v>0</v>
      </c>
      <c r="AB18" s="188">
        <f t="shared" si="15"/>
        <v>0</v>
      </c>
      <c r="AC18" s="188">
        <f t="shared" si="15"/>
        <v>70</v>
      </c>
      <c r="AD18" s="188">
        <f t="shared" si="15"/>
        <v>4</v>
      </c>
      <c r="AE18" s="188">
        <f t="shared" si="15"/>
        <v>2</v>
      </c>
      <c r="AF18" s="188">
        <f t="shared" si="15"/>
        <v>72</v>
      </c>
      <c r="AG18" s="188">
        <f t="shared" si="15"/>
        <v>0</v>
      </c>
      <c r="AH18" s="188">
        <f t="shared" si="15"/>
        <v>0</v>
      </c>
      <c r="AI18" s="188">
        <f t="shared" si="15"/>
        <v>0</v>
      </c>
      <c r="AJ18" s="188">
        <f t="shared" si="15"/>
        <v>0</v>
      </c>
      <c r="AK18" s="188">
        <f t="shared" si="15"/>
        <v>13</v>
      </c>
      <c r="AL18" s="188">
        <f t="shared" si="15"/>
        <v>78</v>
      </c>
      <c r="AM18" s="188">
        <f t="shared" si="15"/>
        <v>20</v>
      </c>
      <c r="AN18" s="188">
        <f t="shared" si="15"/>
        <v>71</v>
      </c>
      <c r="AO18" s="188">
        <f t="shared" si="15"/>
        <v>8</v>
      </c>
      <c r="AP18" s="188">
        <f t="shared" si="15"/>
        <v>7</v>
      </c>
      <c r="AQ18" s="188">
        <f t="shared" si="15"/>
        <v>7</v>
      </c>
      <c r="AR18" s="188">
        <f t="shared" si="15"/>
        <v>7</v>
      </c>
      <c r="AS18" s="188">
        <f t="shared" si="15"/>
        <v>0</v>
      </c>
      <c r="AT18" s="188">
        <f t="shared" si="15"/>
        <v>0</v>
      </c>
      <c r="AU18" s="208"/>
      <c r="AV18" s="133"/>
      <c r="AW18" s="208"/>
      <c r="AX18" s="133"/>
      <c r="AY18" s="188">
        <f>SUBTOTAL(9,AY14:AY17)</f>
        <v>2197</v>
      </c>
      <c r="AZ18" s="188">
        <f>SUBTOTAL(9,AZ14:AZ17)</f>
        <v>1934</v>
      </c>
      <c r="BA18" s="188">
        <f>SUBTOTAL(9,BA14:BA17)</f>
        <v>2035</v>
      </c>
      <c r="BB18" s="188">
        <f>SUBTOTAL(9,BB14:BB17)</f>
        <v>1861</v>
      </c>
      <c r="BC18" s="188">
        <f>SUBTOTAL(9,BC14:BC17)</f>
        <v>292</v>
      </c>
      <c r="BD18" s="209">
        <f>IF(ISNUMBER(BA18/AZ18),BA18/AZ18," - ")</f>
        <v>1.0522233712512927</v>
      </c>
      <c r="BE18" s="210">
        <f>IF(ISNUMBER(BB18/BA18),BB18/BA18, " - ")</f>
        <v>0.91449631449631452</v>
      </c>
      <c r="BF18" s="210">
        <f>IF(ISNUMBER(BC18/BA18),BC18/BA18, " - ")</f>
        <v>0.14348894348894348</v>
      </c>
      <c r="BG18" s="211">
        <f>IF(ISNUMBER((AY18+AZ18)/BA18),(AY18+AZ18)/BA18," - ")</f>
        <v>2.0299754299754298</v>
      </c>
      <c r="BH18" s="188">
        <f>SUBTOTAL(9,BH14:BH17)</f>
        <v>8</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8524</v>
      </c>
      <c r="J19" s="135">
        <f t="shared" si="18"/>
        <v>4508</v>
      </c>
      <c r="K19" s="135">
        <f t="shared" si="18"/>
        <v>3636</v>
      </c>
      <c r="L19" s="135">
        <f t="shared" si="18"/>
        <v>9197</v>
      </c>
      <c r="M19" s="135">
        <f t="shared" si="18"/>
        <v>633</v>
      </c>
      <c r="N19" s="135">
        <f t="shared" si="18"/>
        <v>2372</v>
      </c>
      <c r="O19" s="135">
        <f t="shared" si="18"/>
        <v>485</v>
      </c>
      <c r="P19" s="135">
        <f t="shared" si="18"/>
        <v>320</v>
      </c>
      <c r="Q19" s="135">
        <f t="shared" si="18"/>
        <v>269</v>
      </c>
      <c r="R19" s="135">
        <f t="shared" si="18"/>
        <v>6591</v>
      </c>
      <c r="S19" s="135">
        <f t="shared" si="18"/>
        <v>8115</v>
      </c>
      <c r="T19" s="135">
        <f t="shared" si="18"/>
        <v>3979</v>
      </c>
      <c r="U19" s="135">
        <f t="shared" si="18"/>
        <v>4192</v>
      </c>
      <c r="V19" s="135">
        <f t="shared" si="18"/>
        <v>7803</v>
      </c>
      <c r="W19" s="135">
        <f t="shared" si="18"/>
        <v>689</v>
      </c>
      <c r="X19" s="135">
        <f t="shared" si="18"/>
        <v>2795</v>
      </c>
      <c r="Y19" s="135">
        <f t="shared" si="18"/>
        <v>107</v>
      </c>
      <c r="Z19" s="135">
        <f t="shared" si="18"/>
        <v>84</v>
      </c>
      <c r="AA19" s="135">
        <f t="shared" si="18"/>
        <v>84</v>
      </c>
      <c r="AB19" s="135">
        <f t="shared" si="18"/>
        <v>107</v>
      </c>
      <c r="AC19" s="135">
        <f t="shared" si="18"/>
        <v>70</v>
      </c>
      <c r="AD19" s="135">
        <f t="shared" si="18"/>
        <v>4</v>
      </c>
      <c r="AE19" s="135">
        <f t="shared" si="18"/>
        <v>2</v>
      </c>
      <c r="AF19" s="135">
        <f t="shared" si="18"/>
        <v>72</v>
      </c>
      <c r="AG19" s="135">
        <f t="shared" si="18"/>
        <v>125</v>
      </c>
      <c r="AH19" s="135">
        <f t="shared" si="18"/>
        <v>111</v>
      </c>
      <c r="AI19" s="135">
        <f t="shared" si="18"/>
        <v>106</v>
      </c>
      <c r="AJ19" s="135">
        <f t="shared" si="18"/>
        <v>124</v>
      </c>
      <c r="AK19" s="135">
        <f t="shared" si="18"/>
        <v>13</v>
      </c>
      <c r="AL19" s="135">
        <f t="shared" si="18"/>
        <v>78</v>
      </c>
      <c r="AM19" s="135">
        <f t="shared" si="18"/>
        <v>20</v>
      </c>
      <c r="AN19" s="214">
        <f t="shared" si="18"/>
        <v>71</v>
      </c>
      <c r="AO19" s="215">
        <v>8</v>
      </c>
      <c r="AP19" s="215">
        <v>7</v>
      </c>
      <c r="AQ19" s="215">
        <v>7</v>
      </c>
      <c r="AR19" s="215">
        <v>7</v>
      </c>
      <c r="AS19" s="157">
        <f t="shared" si="18"/>
        <v>0</v>
      </c>
      <c r="AT19" s="157">
        <f t="shared" si="18"/>
        <v>0</v>
      </c>
      <c r="AU19" s="215"/>
      <c r="AV19" s="216"/>
      <c r="AW19" s="215"/>
      <c r="AX19" s="216"/>
      <c r="AY19" s="134">
        <f>SUBTOTAL(9,AY9:AY18)</f>
        <v>8240</v>
      </c>
      <c r="AZ19" s="135">
        <f>SUBTOTAL(9,AZ9:AZ18)</f>
        <v>4090</v>
      </c>
      <c r="BA19" s="135">
        <f>SUBTOTAL(9,BA9:BA18)</f>
        <v>4298</v>
      </c>
      <c r="BB19" s="135">
        <f>SUBTOTAL(9,BB9:BB18)</f>
        <v>7927</v>
      </c>
      <c r="BC19" s="136">
        <f>SUBTOTAL(9,BC9:BC18)</f>
        <v>1676</v>
      </c>
      <c r="BD19" s="217">
        <f>IF(ISNUMBER(BA19/AZ19),BA19/AZ19," - ")</f>
        <v>1.0508557457212715</v>
      </c>
      <c r="BE19" s="214">
        <f>IF(ISNUMBER(BB19/BA19),BB19/BA19, " - ")</f>
        <v>1.8443462075383898</v>
      </c>
      <c r="BF19" s="214">
        <f>IF(ISNUMBER(BC19/BA19),BC19/BA19, " - ")</f>
        <v>0.38994881340158211</v>
      </c>
      <c r="BG19" s="136">
        <f>IF(ISNUMBER((AY19+AZ19)/BA19),(AY19+AZ19)/BA19," - ")</f>
        <v>2.8687761749651002</v>
      </c>
      <c r="BH19" s="215">
        <f>SUBTOTAL(9,BH9:BH18)</f>
        <v>16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trPyp4mOM7fqFX3xJ0hQ1gzJoTqkXxe0Lb4IvXPpdi6cBoEHSzko+e5E9ZrjDjIZOhk5LLrVHbK5fTzggXmJA==" saltValue="uYXAsvpy1S7gEYdcCp9ni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6DWHaZ29A/DbMu88hszzPcygyxJBophyrWeXiTp/FftWSV7tzlS5AHR8Qf2xhBkVapQsI164XmbwpONGf3Ew==" saltValue="QRdgCmReIpFqxDMKd+9pb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CANARIAS</v>
      </c>
      <c r="F1" s="531"/>
    </row>
    <row r="2" spans="1:74" ht="16.5" customHeight="1">
      <c r="C2" s="520" t="str">
        <f>Criterios!A10 &amp;"  "&amp;Criterios!B10 &amp; "  " &amp; IF(NOT(ISBLANK(Criterios!A11)),Criterios!A11 &amp;"  "&amp;Criterios!B11,"")</f>
        <v>Provincias  LAS PALMAS  Resumenes por Partidos Judiciales  PUERTO DEL ROSARIO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29</v>
      </c>
      <c r="G10" s="497">
        <f>IF(ISNUMBER(Datos!I10),Datos!I10," - ")</f>
        <v>29</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18</v>
      </c>
      <c r="AC10" s="501">
        <f>IF(ISNUMBER(Datos!Q10),Datos!Q10," - ")</f>
        <v>4</v>
      </c>
      <c r="AD10" s="503"/>
      <c r="AE10" s="516"/>
      <c r="AF10" s="505">
        <f>IF(ISNUMBER(Datos!L10),Datos!L10,"-")</f>
        <v>35</v>
      </c>
      <c r="AG10" s="503"/>
      <c r="AH10" s="503"/>
      <c r="AI10" s="503"/>
      <c r="AJ10" s="503"/>
      <c r="AK10" s="503"/>
      <c r="AL10" s="504"/>
      <c r="AM10" s="671">
        <f>IF(ISNUMBER(Datos!R10),Datos!R10," - ")</f>
        <v>20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6</v>
      </c>
      <c r="BD10" s="619">
        <f>IF(ISNUMBER(Datos!N10),Datos!N10," - ")</f>
        <v>8</v>
      </c>
      <c r="BE10" s="619" t="str">
        <f>IF(ISNUMBER(Datos!BW10),Datos!BW10," - ")</f>
        <v xml:space="preserve"> - </v>
      </c>
      <c r="BF10" s="667" t="str">
        <f>IF(ISNUMBER(Datos!BX10),Datos!BX10," - ")</f>
        <v xml:space="preserve"> - </v>
      </c>
      <c r="BG10" s="668">
        <f>IF(ISNUMBER(Datos!K10/Datos!J10),Datos!K10/Datos!J10," - ")</f>
        <v>0.75</v>
      </c>
      <c r="BH10" s="669">
        <f>IF(ISNUMBER(((Datos!L10/Datos!K10)*11)/factor_trimestre),((Datos!L10/Datos!K10)*11)/factor_trimestre," - ")</f>
        <v>3.8888888888888888</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-0.13043478260869565</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7</v>
      </c>
      <c r="B12" s="653" t="s">
        <v>249</v>
      </c>
      <c r="C12" s="654" t="str">
        <f>Datos!A12</f>
        <v xml:space="preserve">Jdos. 1ª Instª. e Instr.                        </v>
      </c>
      <c r="D12" s="548"/>
      <c r="E12" s="669">
        <f>IF(ISNUMBER(Datos!AQ12),Datos!AQ12," - ")</f>
        <v>7</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84</v>
      </c>
      <c r="O12" s="503"/>
      <c r="P12" s="503"/>
      <c r="Q12" s="501">
        <f>IF(ISNUMBER(Datos!P12),Datos!P12,0)</f>
        <v>262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216</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107</v>
      </c>
      <c r="AI12" s="503" t="str">
        <f>IF(ISNUMBER(Datos!CD12),Datos!CD12,"-")</f>
        <v>-</v>
      </c>
      <c r="AJ12" s="503" t="str">
        <f>IF(ISNUMBER(Datos!EN12),Datos!EN12," - ")</f>
        <v xml:space="preserve"> - </v>
      </c>
      <c r="AK12" s="503"/>
      <c r="AL12" s="504"/>
      <c r="AM12" s="671">
        <f>IF(ISNUMBER(Datos!R12),Datos!R12," - ")</f>
        <v>6109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329</v>
      </c>
      <c r="BD12" s="619">
        <f>IF(ISNUMBER(Datos!N12),Datos!N12," - ")</f>
        <v>973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0.79105145413870248</v>
      </c>
      <c r="BH12" s="669">
        <f>IF(ISNUMBER(((IF(J_V="SI",Datos!L12/Datos!K12,(Datos!L12+Datos!AB12)/(Datos!K12+Datos!AA12)))*11)/factor_trimestre),((IF(J_V="SI",Datos!L12/Datos!K12,(Datos!L12+Datos!AB12)/(Datos!K12+Datos!AA12)))*11)/factor_trimestre," - ")</f>
        <v>7.7398190045248869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7.5870031337621638E-3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7</v>
      </c>
      <c r="F13" s="1044">
        <f t="shared" si="0"/>
        <v>29</v>
      </c>
      <c r="G13" s="1044">
        <f t="shared" si="0"/>
        <v>29</v>
      </c>
      <c r="H13" s="1045">
        <f t="shared" si="0"/>
        <v>0</v>
      </c>
      <c r="I13" s="1044">
        <f t="shared" si="0"/>
        <v>0</v>
      </c>
      <c r="J13" s="1013">
        <f t="shared" si="0"/>
        <v>0</v>
      </c>
      <c r="K13" s="1013">
        <f t="shared" si="0"/>
        <v>0</v>
      </c>
      <c r="L13" s="1045">
        <f t="shared" si="0"/>
        <v>0</v>
      </c>
      <c r="M13" s="1045">
        <f t="shared" si="0"/>
        <v>0</v>
      </c>
      <c r="N13" s="1045">
        <f t="shared" si="0"/>
        <v>84</v>
      </c>
      <c r="O13" s="1046">
        <f t="shared" si="0"/>
        <v>0</v>
      </c>
      <c r="P13" s="1046">
        <f t="shared" si="0"/>
        <v>0</v>
      </c>
      <c r="Q13" s="1045">
        <f t="shared" si="0"/>
        <v>263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18</v>
      </c>
      <c r="AC13" s="1045">
        <f t="shared" si="1"/>
        <v>220</v>
      </c>
      <c r="AD13" s="1045">
        <f t="shared" si="1"/>
        <v>0</v>
      </c>
      <c r="AE13" s="1045">
        <f t="shared" si="1"/>
        <v>0</v>
      </c>
      <c r="AF13" s="1045">
        <f t="shared" si="1"/>
        <v>35</v>
      </c>
      <c r="AG13" s="1045">
        <f t="shared" si="1"/>
        <v>0</v>
      </c>
      <c r="AH13" s="1045">
        <f t="shared" si="1"/>
        <v>107</v>
      </c>
      <c r="AI13" s="1045">
        <f t="shared" si="1"/>
        <v>0</v>
      </c>
      <c r="AJ13" s="1045">
        <f t="shared" si="1"/>
        <v>0</v>
      </c>
      <c r="AK13" s="1045">
        <f t="shared" si="1"/>
        <v>0</v>
      </c>
      <c r="AL13" s="1045">
        <f t="shared" si="1"/>
        <v>0</v>
      </c>
      <c r="AM13" s="1045">
        <f t="shared" si="1"/>
        <v>6129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335</v>
      </c>
      <c r="BD13" s="1045">
        <f t="shared" si="1"/>
        <v>981</v>
      </c>
      <c r="BE13" s="1045">
        <f t="shared" si="1"/>
        <v>0</v>
      </c>
      <c r="BF13" s="1045">
        <f t="shared" si="1"/>
        <v>0</v>
      </c>
      <c r="BG13" s="1045">
        <f>IF(ISNUMBER(Datos!K13/Datos!J13),Datos!K13/Datos!J13," - ")</f>
        <v>0.78252873563218395</v>
      </c>
      <c r="BH13" s="1049">
        <f>IF(ISNUMBER(((Datos!L13/Datos!K13)*11)/factor_trimestre),((Datos!L13/Datos!K13)*11)/factor_trimestre," - ")</f>
        <v>7.9553466509988251</v>
      </c>
      <c r="BI13" s="1045">
        <f>IF(ISNUMBER('Resol  Asuntos'!D13/NºAsuntos!G13),'Resol  Asuntos'!D13/NºAsuntos!G13," - ")</f>
        <v>0.18756998880179171</v>
      </c>
      <c r="BJ13" s="1045" t="str">
        <f>IF(ISNUMBER(Datos!CI13/Datos!CJ13),Datos!CI13/Datos!CJ13," - ")</f>
        <v xml:space="preserve"> - </v>
      </c>
      <c r="BK13" s="1045">
        <f>SUBTOTAL(9,BK8:BK12)</f>
        <v>0</v>
      </c>
      <c r="BL13" s="1045">
        <f>IF(ISNUMBER((I13-AB13+L13)/(F13)),(I13-AB13+L13)/(F13)," - ")</f>
        <v>-0.62068965517241381</v>
      </c>
      <c r="BM13" s="1050">
        <f>SUBTOTAL(9,BM9:BM12)</f>
        <v>-0.12284777947493349</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7</v>
      </c>
      <c r="B16" s="646" t="s">
        <v>400</v>
      </c>
      <c r="C16" s="656" t="str">
        <f>Datos!A16</f>
        <v xml:space="preserve">Jdos. 1ª Instª. e Instr.                        </v>
      </c>
      <c r="D16" s="657"/>
      <c r="E16" s="1330">
        <f>IF(ISNUMBER(Datos!AQ16),Datos!AQ16," - ")</f>
        <v>7</v>
      </c>
      <c r="F16" s="647">
        <f>IF(ISNUMBER(AF16+AB16-Datos!J16-L16),AF16+AB16-Datos!J16-L16," - ")</f>
        <v>1943</v>
      </c>
      <c r="G16" s="650">
        <f>IF(ISNUMBER(IF(D_I="SI",Datos!I16,Datos!I16+Datos!AC16)),IF(D_I="SI",Datos!I16,Datos!I16+Datos!AC16)," - ")</f>
        <v>1967</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51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1675</v>
      </c>
      <c r="AC16" s="230">
        <f>IF(ISNUMBER(Datos!Q16),Datos!Q16," - ")</f>
        <v>43</v>
      </c>
      <c r="AD16" s="343"/>
      <c r="AE16" s="515"/>
      <c r="AF16" s="648">
        <f>IF(ISNUMBER(IF(D_I="SI",Datos!L16,Datos!L16+Datos!AF16)),IF(D_I="SI",Datos!L16,Datos!L16+Datos!AF16)," - ")</f>
        <v>2308</v>
      </c>
      <c r="AG16" s="343"/>
      <c r="AH16" s="343"/>
      <c r="AI16" s="343"/>
      <c r="AJ16" s="503"/>
      <c r="AK16" s="343"/>
      <c r="AL16" s="499"/>
      <c r="AM16" s="344">
        <f>IF(ISNUMBER(Datos!R16),Datos!R16," - ")</f>
        <v>438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247</v>
      </c>
      <c r="BD16" s="233">
        <f>IF(ISNUMBER(Datos!N16),Datos!N16," - ")</f>
        <v>1246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0.82107843137254899</v>
      </c>
      <c r="BH16" s="669">
        <f>IF(ISNUMBER(((IF(D_I="SI",Datos!L16/Datos!K16,(Datos!L16+Datos!AF16)/(Datos!K16+Datos!AE16)))*11)/factor_trimestre),((IF(D_I="SI",Datos!L16/Datos!K16,(Datos!L16+Datos!AF16)/(Datos!K16+Datos!AE16)))*11)/factor_trimestre," - ")</f>
        <v>2.7558208955223882</v>
      </c>
      <c r="BI16" s="247">
        <f>IF(ISNUMBER('Resol  Asuntos'!D16/NºAsuntos!G16),'Resol  Asuntos'!D16/NºAsuntos!G16," - ")</f>
        <v>0.14746268656716419</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81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6</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259</v>
      </c>
      <c r="AC17" s="501">
        <f>IF(ISNUMBER(Datos!Q17),Datos!Q17," - ")</f>
        <v>6</v>
      </c>
      <c r="AD17" s="503"/>
      <c r="AE17" s="515"/>
      <c r="AF17" s="505">
        <f>IF(ISNUMBER(Datos!L17),Datos!L17,"-")</f>
        <v>119</v>
      </c>
      <c r="AG17" s="503"/>
      <c r="AH17" s="503"/>
      <c r="AI17" s="503"/>
      <c r="AJ17" s="503"/>
      <c r="AK17" s="503"/>
      <c r="AL17" s="504"/>
      <c r="AM17" s="671">
        <f>IF(ISNUMBER(Datos!R17),Datos!R17," - ")</f>
        <v>24</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51</v>
      </c>
      <c r="BD17" s="619">
        <f>IF(ISNUMBER(Datos!N17),Datos!N17," - ")</f>
        <v>145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0.88395904436860073</v>
      </c>
      <c r="BH17" s="669">
        <f>IF(ISNUMBER(((IF(D_I="SI",Datos!L17/Datos!K17,(Datos!L17+Datos!AF17)/(Datos!K17+Datos!AE17)))*11)/factor_trimestre),((IF(D_I="SI",Datos!L17/Datos!K17,(Datos!L17+Datos!AF17)/(Datos!K17+Datos!AE17)))*11)/factor_trimestre," - ")</f>
        <v>0.91891891891891897</v>
      </c>
      <c r="BI17" s="668">
        <f>IF(ISNUMBER('Resol  Asuntos'!D17/NºAsuntos!G17),'Resol  Asuntos'!D17/NºAsuntos!G17," - ")</f>
        <v>0.19691119691119691</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7</v>
      </c>
      <c r="F18" s="1044">
        <f>SUBTOTAL(9,F15:F17)</f>
        <v>1943</v>
      </c>
      <c r="G18" s="1044">
        <f>SUBTOTAL(9,G15:G17)</f>
        <v>2048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57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1934</v>
      </c>
      <c r="AC18" s="1045">
        <f t="shared" si="4"/>
        <v>49</v>
      </c>
      <c r="AD18" s="1045">
        <f t="shared" si="4"/>
        <v>0</v>
      </c>
      <c r="AE18" s="1045">
        <f t="shared" si="4"/>
        <v>0</v>
      </c>
      <c r="AF18" s="1045">
        <f t="shared" si="4"/>
        <v>2427</v>
      </c>
      <c r="AG18" s="1045">
        <f t="shared" si="4"/>
        <v>0</v>
      </c>
      <c r="AH18" s="1045">
        <f t="shared" si="4"/>
        <v>0</v>
      </c>
      <c r="AI18" s="1045">
        <f t="shared" si="4"/>
        <v>0</v>
      </c>
      <c r="AJ18" s="1045">
        <f t="shared" si="4"/>
        <v>0</v>
      </c>
      <c r="AK18" s="1045">
        <f t="shared" si="4"/>
        <v>0</v>
      </c>
      <c r="AL18" s="1045">
        <f t="shared" si="4"/>
        <v>0</v>
      </c>
      <c r="AM18" s="1045">
        <f t="shared" si="4"/>
        <v>462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298</v>
      </c>
      <c r="BD18" s="1045">
        <f t="shared" si="4"/>
        <v>1391</v>
      </c>
      <c r="BE18" s="1045">
        <f t="shared" si="4"/>
        <v>0</v>
      </c>
      <c r="BF18" s="1045">
        <f t="shared" si="4"/>
        <v>0</v>
      </c>
      <c r="BG18" s="1045">
        <f>IF(ISNUMBER(Datos!K18/Datos!J18),Datos!K18/Datos!J18," - ")</f>
        <v>0.82897556793827687</v>
      </c>
      <c r="BH18" s="1049">
        <f>IF(ISNUMBER(((Datos!L18/Datos!K18)*11)/factor_trimestre),((Datos!L18/Datos!K18)*11)/factor_trimestre," - ")</f>
        <v>2.5098241985522232</v>
      </c>
      <c r="BI18" s="1045">
        <f>SUBTOTAL(9,BI15:BI17)</f>
        <v>0.34437388347836106</v>
      </c>
      <c r="BJ18" s="1045">
        <f>SUBTOTAL(9,BJ15:BJ17)</f>
        <v>0</v>
      </c>
      <c r="BK18" s="1045">
        <f>SUBTOTAL(9,BK15:BK17)</f>
        <v>0</v>
      </c>
      <c r="BL18" s="1045">
        <f>IF(ISNUMBER((I18-AB18+L18)/(F18)),(I18-AB18+L18)/(F18)," - ")</f>
        <v>-0.99536798764796708</v>
      </c>
      <c r="BM18" s="1051">
        <f>IF(ISNUMBER((Datos!P18-Datos!Q18)/(Datos!R18-Datos!P18+Datos!Q18)),(Datos!P18-Datos!Q18)/(Datos!R18-Datos!P18+Datos!Q18)," - ")</f>
        <v>1.7621145374449341E-2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14</v>
      </c>
      <c r="F19" s="966">
        <f t="shared" si="6"/>
        <v>1972</v>
      </c>
      <c r="G19" s="966">
        <f t="shared" si="6"/>
        <v>2077</v>
      </c>
      <c r="H19" s="968">
        <f t="shared" si="6"/>
        <v>0</v>
      </c>
      <c r="I19" s="966">
        <f t="shared" si="6"/>
        <v>0</v>
      </c>
      <c r="J19" s="968">
        <f t="shared" si="6"/>
        <v>0</v>
      </c>
      <c r="K19" s="968">
        <f t="shared" si="6"/>
        <v>0</v>
      </c>
      <c r="L19" s="1027">
        <f t="shared" si="6"/>
        <v>0</v>
      </c>
      <c r="M19" s="1027">
        <f t="shared" si="6"/>
        <v>0</v>
      </c>
      <c r="N19" s="1027">
        <f t="shared" si="6"/>
        <v>84</v>
      </c>
      <c r="O19" s="1027">
        <f t="shared" si="6"/>
        <v>0</v>
      </c>
      <c r="P19" s="1027">
        <f t="shared" si="6"/>
        <v>0</v>
      </c>
      <c r="Q19" s="968">
        <f t="shared" si="6"/>
        <v>320</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1952</v>
      </c>
      <c r="AC19" s="967">
        <f t="shared" si="7"/>
        <v>269</v>
      </c>
      <c r="AD19" s="967">
        <f t="shared" si="7"/>
        <v>0</v>
      </c>
      <c r="AE19" s="967">
        <f t="shared" si="7"/>
        <v>0</v>
      </c>
      <c r="AF19" s="974">
        <f t="shared" si="7"/>
        <v>2462</v>
      </c>
      <c r="AG19" s="974">
        <f t="shared" si="7"/>
        <v>0</v>
      </c>
      <c r="AH19" s="974">
        <f t="shared" si="7"/>
        <v>107</v>
      </c>
      <c r="AI19" s="974">
        <f t="shared" si="7"/>
        <v>0</v>
      </c>
      <c r="AJ19" s="967">
        <f t="shared" si="7"/>
        <v>0</v>
      </c>
      <c r="AK19" s="974">
        <f t="shared" si="7"/>
        <v>0</v>
      </c>
      <c r="AL19" s="974">
        <f t="shared" si="7"/>
        <v>0</v>
      </c>
      <c r="AM19" s="974">
        <f t="shared" si="7"/>
        <v>6591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633</v>
      </c>
      <c r="BD19" s="966">
        <f t="shared" si="7"/>
        <v>2372</v>
      </c>
      <c r="BE19" s="966">
        <f t="shared" si="7"/>
        <v>0</v>
      </c>
      <c r="BF19" s="976">
        <f t="shared" si="7"/>
        <v>0</v>
      </c>
      <c r="BG19" s="1061">
        <f>IF(ISNUMBER(Datos!K19/Datos!J19),Datos!K19/Datos!J19," - ")</f>
        <v>0.8065661047027507</v>
      </c>
      <c r="BH19" s="1061">
        <f>IF(ISNUMBER(((Datos!L19/Datos!K19)*11)/factor_trimestre),((Datos!L19/Datos!K19)*11)/factor_trimestre," - ")</f>
        <v>5.0588558855885593</v>
      </c>
      <c r="BI19" s="959">
        <f>IF(ISNUMBER(Datos!J19/Datos!I19),Datos!J19/Datos!I19," - ")</f>
        <v>0.52885969028625057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-0.98985801217038538</v>
      </c>
      <c r="BM19" s="1035">
        <f>IF(ISNUMBER((Datos!P19-Datos!Q19+R19)/(Datos!R19-Datos!P19+Datos!Q19-R19)),(Datos!P19-Datos!Q19+R19)/(Datos!R19-Datos!P19+Datos!Q19-R19)," - ")</f>
        <v>7.7981651376146793E-3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830.8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3.6893239368631092</v>
      </c>
      <c r="F21" s="599">
        <f>IF(ISNUMBER(STDEV(F8:F18)),STDEV(F8:F18),"-")</f>
        <v>1105.0484152289437</v>
      </c>
      <c r="G21" s="600">
        <f>IF(ISNUMBER(STDEV(G8:G18)),STDEV(G8:G18),"-")</f>
        <v>1074.7665793092006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944.12218488922292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145.45789768864392</v>
      </c>
      <c r="BD21" s="599"/>
      <c r="BE21" s="599">
        <f>IF(ISNUMBER(STDEV(BE8:BE18)),STDEV(BE8:BE18),"-")</f>
        <v>0</v>
      </c>
      <c r="BF21" s="604">
        <f>IF(ISNUMBER(STDEV(BF8:BF18)),STDEV(BF8:BF18),"-")</f>
        <v>0</v>
      </c>
      <c r="BG21" s="914">
        <f>IF(ISNUMBER(STDEV(BG8:BG18)),STDEV(BG8:BG18),"-")</f>
        <v>4.6185487762989884E-2</v>
      </c>
      <c r="BH21" s="918">
        <f>IF(ISNUMBER(STDEV(BH8:BH18)),STDEV(BH8:BH18),"-")</f>
        <v>2.9114838113816446</v>
      </c>
      <c r="BI21" s="253">
        <f>IF(ISNUMBER(STDEV(BI8:BI18)),STDEV(BI8:BI18),"-")</f>
        <v>8.6239846658932084E-2</v>
      </c>
      <c r="BJ21" s="234" t="str">
        <f>IF(ISNUMBER(BL21/BM21),BL21/BM21," - ")</f>
        <v xml:space="preserve"> - </v>
      </c>
      <c r="BK21" s="626"/>
      <c r="BL21" s="607">
        <f>IF(ISNUMBER(STDEV(BL8:BL18)),STDEV(BL8:BL18),"-")</f>
        <v>0.2649375896571311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Qia/EsAILEvJzBVTDP6UnDHqTIOi9UNw6E1+YRW/Ve8D4pKcqPOxnypVeHKENqLnY9CILkO2yKOAMR2QxHifWg==" saltValue="q0wRIpug3xml+2XzaEOKp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CANARIAS</v>
      </c>
    </row>
    <row r="2" spans="1:73" ht="16.5" customHeight="1">
      <c r="C2" s="574" t="str">
        <f>Criterios!A10 &amp;"  "&amp;Criterios!B10 &amp; "  " &amp; IF(NOT(ISBLANK(Criterios!A11)),Criterios!A11 &amp;"  "&amp;Criterios!B11,"")</f>
        <v>Provincias  LAS PALMAS  Resumenes por Partidos Judiciales  PUERTO DEL ROSARIO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29</v>
      </c>
      <c r="G10" s="506">
        <f>IF(ISNUMBER(Datos!I10),Datos!I10," - ")</f>
        <v>29</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18</v>
      </c>
      <c r="Z10" s="703">
        <f>IF(ISNUMBER(Datos!Q10),Datos!Q10," - ")</f>
        <v>4</v>
      </c>
      <c r="AA10" s="505">
        <f>IF(ISNUMBER(Datos!L10),Datos!L10,"-")</f>
        <v>35</v>
      </c>
      <c r="AB10" s="503"/>
      <c r="AC10" s="503"/>
      <c r="AD10" s="516"/>
      <c r="AE10" s="516">
        <f>IF(ISNUMBER(Datos!R10),Datos!R10," - ")</f>
        <v>20</v>
      </c>
      <c r="AF10" s="619" t="str">
        <f>IF(ISNUMBER(Datos!BV10),Datos!BV10," - ")</f>
        <v xml:space="preserve"> - </v>
      </c>
      <c r="AG10" s="506" t="str">
        <f>IF(ISNUMBER(Datos!DV10),Datos!DV10," - ")</f>
        <v xml:space="preserve"> - </v>
      </c>
      <c r="AH10" s="507"/>
      <c r="AI10" s="508"/>
      <c r="AJ10" s="506">
        <f>IF(ISNUMBER(Datos!M10),Datos!M10," - ")</f>
        <v>6</v>
      </c>
      <c r="AK10" s="619">
        <f>IF(ISNUMBER(Datos!N10),Datos!N10," - ")</f>
        <v>8</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3.8888888888888888</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-0.13043478260869565</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7</v>
      </c>
      <c r="B12" s="653" t="s">
        <v>249</v>
      </c>
      <c r="C12" s="654" t="str">
        <f>Datos!A12</f>
        <v xml:space="preserve">Jdos. 1ª Instª. e Instr.                        </v>
      </c>
      <c r="D12" s="548"/>
      <c r="E12" s="1333">
        <f>IF(ISNUMBER(Datos!AQ12),Datos!AQ12," - ")</f>
        <v>7</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262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216</v>
      </c>
      <c r="AA12" s="505" t="str">
        <f>IF(ISNUMBER(IF(J_V="SI",Datos!L12,Datos!L12+Datos!AB12)-IF(Monitorios="SI",Datos!CD12,0)),
                          IF(J_V="SI",Datos!L12,Datos!L12+Datos!AB12)-IF(Monitorios="SI",Datos!CD12,0),
                          " - ")</f>
        <v xml:space="preserve"> - </v>
      </c>
      <c r="AB12" s="503"/>
      <c r="AC12" s="503"/>
      <c r="AD12" s="516"/>
      <c r="AE12" s="516">
        <f>IF(ISNUMBER(Datos!R12),Datos!R12," - ")</f>
        <v>6109</v>
      </c>
      <c r="AF12" s="619" t="str">
        <f>IF(ISNUMBER(Datos!BV12),Datos!BV12," - ")</f>
        <v xml:space="preserve"> - </v>
      </c>
      <c r="AG12" s="506" t="str">
        <f>IF(ISNUMBER(Datos!DV12),Datos!DV12," - ")</f>
        <v xml:space="preserve"> - </v>
      </c>
      <c r="AH12" s="507"/>
      <c r="AI12" s="508"/>
      <c r="AJ12" s="506">
        <f>IF(ISNUMBER(Datos!M12),Datos!M12," - ")</f>
        <v>329</v>
      </c>
      <c r="AK12" s="619">
        <f>IF(ISNUMBER(Datos!N12),Datos!N12," - ")</f>
        <v>973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7.7398190045248869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7.5870031337621638E-3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7</v>
      </c>
      <c r="F13" s="1044">
        <f>SUBTOTAL(9,F8:F12)</f>
        <v>29</v>
      </c>
      <c r="G13" s="1044">
        <f>SUBTOTAL(9,G8:G12)</f>
        <v>29</v>
      </c>
      <c r="H13" s="1054"/>
      <c r="I13" s="1044">
        <f t="shared" ref="I13:N13" si="0">SUBTOTAL(9,I8:I12)</f>
        <v>0</v>
      </c>
      <c r="J13" s="1013">
        <f t="shared" si="0"/>
        <v>0</v>
      </c>
      <c r="K13" s="1054">
        <f t="shared" si="0"/>
        <v>0</v>
      </c>
      <c r="L13" s="1054">
        <f t="shared" si="0"/>
        <v>0</v>
      </c>
      <c r="M13" s="1054">
        <f t="shared" si="0"/>
        <v>0</v>
      </c>
      <c r="N13" s="1054">
        <f t="shared" si="0"/>
        <v>263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18</v>
      </c>
      <c r="Z13" s="1053">
        <f t="shared" si="2"/>
        <v>220</v>
      </c>
      <c r="AA13" s="1046">
        <f t="shared" si="2"/>
        <v>35</v>
      </c>
      <c r="AB13" s="1046">
        <f t="shared" si="2"/>
        <v>0</v>
      </c>
      <c r="AC13" s="1046">
        <f t="shared" si="2"/>
        <v>0</v>
      </c>
      <c r="AD13" s="1046">
        <f t="shared" si="2"/>
        <v>0</v>
      </c>
      <c r="AE13" s="1046">
        <f t="shared" si="2"/>
        <v>6129</v>
      </c>
      <c r="AF13" s="1054">
        <f t="shared" si="2"/>
        <v>0</v>
      </c>
      <c r="AG13" s="1054">
        <f t="shared" si="2"/>
        <v>0</v>
      </c>
      <c r="AH13" s="1054">
        <f t="shared" si="2"/>
        <v>0</v>
      </c>
      <c r="AI13" s="1054">
        <f t="shared" si="2"/>
        <v>0</v>
      </c>
      <c r="AJ13" s="1054">
        <f t="shared" si="2"/>
        <v>335</v>
      </c>
      <c r="AK13" s="1054">
        <f t="shared" si="2"/>
        <v>981</v>
      </c>
      <c r="AL13" s="1054">
        <f t="shared" si="2"/>
        <v>0</v>
      </c>
      <c r="AM13" s="1054">
        <f t="shared" si="2"/>
        <v>0</v>
      </c>
      <c r="AN13" s="1054">
        <f t="shared" si="2"/>
        <v>0</v>
      </c>
      <c r="AO13" s="1050">
        <f>IF(ISNUMBER(((NºAsuntos!I13/NºAsuntos!G13)*11)/factor_trimestre),((NºAsuntos!I13/NºAsuntos!G13)*11)/factor_trimestre," - ")</f>
        <v>7.7010078387458005</v>
      </c>
      <c r="AP13" s="1056" t="str">
        <f>IF(ISNUMBER(Datos!CI13/Datos!CJ13),Datos!CI13/Datos!CJ13," - ")</f>
        <v xml:space="preserve"> - </v>
      </c>
      <c r="AQ13" s="1074">
        <f t="shared" ref="AQ13:AV13" si="3">SUBTOTAL(9,AQ9:AQ12)</f>
        <v>0</v>
      </c>
      <c r="AR13" s="1074">
        <f t="shared" si="3"/>
        <v>-0.12284777947493349</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7</v>
      </c>
      <c r="B16" s="653" t="s">
        <v>400</v>
      </c>
      <c r="C16" s="670" t="str">
        <f>Datos!A16</f>
        <v xml:space="preserve">Jdos. 1ª Instª. e Instr.                        </v>
      </c>
      <c r="D16" s="543"/>
      <c r="E16" s="1333">
        <f>IF(ISNUMBER(Datos!AQ16),Datos!AQ16," - ")</f>
        <v>7</v>
      </c>
      <c r="F16" s="497">
        <f>IF(ISNUMBER(AA16+Y16-Datos!J16-K15),AA16+Y16-Datos!J16-K15," - ")</f>
        <v>1943</v>
      </c>
      <c r="G16" s="506">
        <f>IF(ISNUMBER(IF(D_I="SI",Datos!I16,Datos!I16+Datos!AC16)),IF(D_I="SI",Datos!I16,Datos!I16+Datos!AC16)," - ")</f>
        <v>1967</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51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1675</v>
      </c>
      <c r="Z16" s="703">
        <f>IF(ISNUMBER(Datos!Q16),Datos!Q16," - ")</f>
        <v>43</v>
      </c>
      <c r="AA16" s="505">
        <f>IF(ISNUMBER(IF(D_I="SI",Datos!L16,Datos!L16+Datos!AF16)),IF(D_I="SI",Datos!L16,Datos!L16+Datos!AF16)," - ")</f>
        <v>2308</v>
      </c>
      <c r="AB16" s="503"/>
      <c r="AC16" s="503"/>
      <c r="AD16" s="516"/>
      <c r="AE16" s="516">
        <f>IF(ISNUMBER(Datos!R16),Datos!R16," - ")</f>
        <v>438</v>
      </c>
      <c r="AF16" s="619" t="str">
        <f>IF(ISNUMBER(Datos!BV16),Datos!BV16," - ")</f>
        <v xml:space="preserve"> - </v>
      </c>
      <c r="AG16" s="506"/>
      <c r="AH16" s="507"/>
      <c r="AI16" s="508"/>
      <c r="AJ16" s="506">
        <f>IF(ISNUMBER(Datos!M16),Datos!M16," - ")</f>
        <v>247</v>
      </c>
      <c r="AK16" s="619">
        <f>IF(ISNUMBER(Datos!N16),Datos!N16," - ")</f>
        <v>1246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2.7558208955223882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81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6</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259</v>
      </c>
      <c r="Z17" s="703">
        <f>IF(ISNUMBER(Datos!Q17),Datos!Q17," - ")</f>
        <v>6</v>
      </c>
      <c r="AA17" s="505">
        <f>IF(ISNUMBER(Datos!L17),Datos!L17,"-")</f>
        <v>119</v>
      </c>
      <c r="AB17" s="503"/>
      <c r="AC17" s="503"/>
      <c r="AD17" s="516"/>
      <c r="AE17" s="516">
        <f>IF(ISNUMBER(Datos!R17),Datos!R17," - ")</f>
        <v>24</v>
      </c>
      <c r="AF17" s="619" t="str">
        <f>IF(ISNUMBER(Datos!BV17),Datos!BV17," - ")</f>
        <v xml:space="preserve"> - </v>
      </c>
      <c r="AG17" s="506" t="str">
        <f>IF(ISNUMBER(Datos!DV17),Datos!DV17," - ")</f>
        <v xml:space="preserve"> - </v>
      </c>
      <c r="AH17" s="507"/>
      <c r="AI17" s="508"/>
      <c r="AJ17" s="506">
        <f>IF(ISNUMBER(Datos!M17),Datos!M17," - ")</f>
        <v>51</v>
      </c>
      <c r="AK17" s="619">
        <f>IF(ISNUMBER(Datos!N17),Datos!N17," - ")</f>
        <v>145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0.91891891891891897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7</v>
      </c>
      <c r="F18" s="1044">
        <f>SUBTOTAL(9,F15:F17)</f>
        <v>1943</v>
      </c>
      <c r="G18" s="1044">
        <f>SUBTOTAL(9,G15:G17)</f>
        <v>2048</v>
      </c>
      <c r="H18" s="1078">
        <f>SUBTOTAL(9,H15:H17)</f>
        <v>0</v>
      </c>
      <c r="I18" s="1057">
        <f>SUBTOTAL(9,I15:I17)</f>
        <v>0</v>
      </c>
      <c r="J18" s="1013">
        <f>SUBTOTAL(9,J14:J17)</f>
        <v>0</v>
      </c>
      <c r="K18" s="1078">
        <f t="shared" ref="K18:S18" si="4">SUBTOTAL(9,K15:K17)</f>
        <v>0</v>
      </c>
      <c r="L18" s="1078">
        <f t="shared" si="4"/>
        <v>0</v>
      </c>
      <c r="M18" s="1078">
        <f t="shared" si="4"/>
        <v>0</v>
      </c>
      <c r="N18" s="1078">
        <f t="shared" si="4"/>
        <v>57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1934</v>
      </c>
      <c r="Z18" s="1078">
        <f t="shared" si="5"/>
        <v>49</v>
      </c>
      <c r="AA18" s="1078">
        <f t="shared" si="5"/>
        <v>2427</v>
      </c>
      <c r="AB18" s="1078">
        <f t="shared" si="5"/>
        <v>0</v>
      </c>
      <c r="AC18" s="1078">
        <f t="shared" si="5"/>
        <v>0</v>
      </c>
      <c r="AD18" s="1078">
        <f t="shared" si="5"/>
        <v>0</v>
      </c>
      <c r="AE18" s="1078">
        <f t="shared" si="5"/>
        <v>462</v>
      </c>
      <c r="AF18" s="1078">
        <f t="shared" si="5"/>
        <v>0</v>
      </c>
      <c r="AG18" s="1078">
        <f t="shared" si="5"/>
        <v>0</v>
      </c>
      <c r="AH18" s="1078">
        <f t="shared" si="5"/>
        <v>0</v>
      </c>
      <c r="AI18" s="1078">
        <f t="shared" si="5"/>
        <v>0</v>
      </c>
      <c r="AJ18" s="1078">
        <f t="shared" si="5"/>
        <v>298</v>
      </c>
      <c r="AK18" s="1078">
        <f t="shared" si="5"/>
        <v>1391</v>
      </c>
      <c r="AL18" s="1078">
        <f t="shared" si="5"/>
        <v>0</v>
      </c>
      <c r="AM18" s="1078">
        <f t="shared" si="5"/>
        <v>0</v>
      </c>
      <c r="AN18" s="1078">
        <f t="shared" si="5"/>
        <v>0</v>
      </c>
      <c r="AO18" s="1080">
        <f>IF(ISNUMBER(((NºAsuntos!I18/NºAsuntos!G18)*11)/factor_trimestre),((NºAsuntos!I18/NºAsuntos!G18)*11)/factor_trimestre," - ")</f>
        <v>2.5098241985522232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14</v>
      </c>
      <c r="F19" s="966">
        <f t="shared" si="7"/>
        <v>1972</v>
      </c>
      <c r="G19" s="966">
        <f t="shared" si="7"/>
        <v>2077</v>
      </c>
      <c r="H19" s="967">
        <f t="shared" si="7"/>
        <v>0</v>
      </c>
      <c r="I19" s="966">
        <f t="shared" si="7"/>
        <v>0</v>
      </c>
      <c r="J19" s="968">
        <f t="shared" si="7"/>
        <v>0</v>
      </c>
      <c r="K19" s="966">
        <f t="shared" si="7"/>
        <v>0</v>
      </c>
      <c r="L19" s="969">
        <f t="shared" si="7"/>
        <v>0</v>
      </c>
      <c r="M19" s="966">
        <f t="shared" si="7"/>
        <v>0</v>
      </c>
      <c r="N19" s="967">
        <f t="shared" si="7"/>
        <v>320</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1952</v>
      </c>
      <c r="Z19" s="973">
        <f t="shared" si="8"/>
        <v>269</v>
      </c>
      <c r="AA19" s="974">
        <f t="shared" si="8"/>
        <v>2462</v>
      </c>
      <c r="AB19" s="974">
        <f t="shared" si="8"/>
        <v>0</v>
      </c>
      <c r="AC19" s="974">
        <f t="shared" si="8"/>
        <v>0</v>
      </c>
      <c r="AD19" s="975">
        <f t="shared" si="8"/>
        <v>0</v>
      </c>
      <c r="AE19" s="975">
        <f t="shared" si="8"/>
        <v>6591</v>
      </c>
      <c r="AF19" s="976">
        <f t="shared" si="8"/>
        <v>0</v>
      </c>
      <c r="AG19" s="977">
        <f t="shared" si="8"/>
        <v>0</v>
      </c>
      <c r="AH19" s="978">
        <f t="shared" si="8"/>
        <v>0</v>
      </c>
      <c r="AI19" s="976">
        <f t="shared" si="8"/>
        <v>0</v>
      </c>
      <c r="AJ19" s="966">
        <f t="shared" si="8"/>
        <v>633</v>
      </c>
      <c r="AK19" s="966">
        <f t="shared" si="8"/>
        <v>2372</v>
      </c>
      <c r="AL19" s="966">
        <f t="shared" si="8"/>
        <v>0</v>
      </c>
      <c r="AM19" s="979">
        <f t="shared" si="8"/>
        <v>0</v>
      </c>
      <c r="AN19" s="969">
        <f>IF(ISNUMBER(Datos!K19/Datos!J19),Datos!K19/Datos!J19," - ")</f>
        <v>0.8065661047027507</v>
      </c>
      <c r="AO19" s="969">
        <f>IF(ISNUMBER(FIND("06",Criterios!A8,1)),(IF(ISNUMBER(((Datos!R19/Datos!Q19)*11)/factor_trimestre),((Datos!R19/Datos!Q19)*11)/factor_trimestre," - ")),(IF(ISNUMBER(((Datos!L19/Datos!K19)*11)/factor_trimestre),((Datos!L19/Datos!K19)*11)/factor_trimestre," - ")))</f>
        <v>5.0588558855885593</v>
      </c>
      <c r="AP19" s="980" t="str">
        <f>IF(ISNUMBER(Datos!CI19/Datos!CJ19),Datos!CI19/Datos!CJ19," - ")</f>
        <v xml:space="preserve"> - </v>
      </c>
      <c r="AQ19" s="980">
        <f>IF(OR(ISNUMBER(FIND("01",Criterios!A8,1)),ISNUMBER(FIND("02",Criterios!A8,1)),ISNUMBER(FIND("03",Criterios!A8,1)),ISNUMBER(FIND("04",Criterios!A8,1))),(J19-Y19+K19)/(F19-K19),(I19-Y19+K19)/(F19-K19))</f>
        <v>-0.98985801217038538</v>
      </c>
      <c r="AR19" s="980">
        <f>IF(ISNUMBER((Datos!P19-Datos!Q19+O19)/(Datos!R19-Datos!P19+Datos!Q19-O19)),(Datos!P19-Datos!Q19+O19)/(Datos!R19-Datos!P19+Datos!Q19-O19)," - ")</f>
        <v>7.7981651376146793E-3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830.8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1105.0484152289437</v>
      </c>
      <c r="G21" s="600">
        <f>IF(ISNUMBER(STDEV(G8:G18)),STDEV(G8:G18),"-")</f>
        <v>1074.7665793092006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145.45789768864392</v>
      </c>
      <c r="AK21" s="256"/>
      <c r="AL21" s="256">
        <f>IF(ISNUMBER(STDEV(AL8:AL18)),STDEV(AL8:AL18),"-")</f>
        <v>0</v>
      </c>
      <c r="AM21" s="258">
        <f>IF(ISNUMBER(STDEV(AM8:AM18)),STDEV(AM8:AM18),"-")</f>
        <v>0</v>
      </c>
      <c r="AN21" s="586">
        <f>IF(ISNUMBER(STDEV(AN8:AN18)),STDEV(AN8:AN18),"-")</f>
        <v>0</v>
      </c>
      <c r="AO21" s="587">
        <f>IF(ISNUMBER(STDEV(AO8:AO18)),STDEV(AO8:AO18),"-")</f>
        <v>2.8487029758031017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ctlJqQTLWKw/XsAzJ7Fg1r8exMbskL9loBC9vWwhs31kQzuGVft0UZGc0cYFk8nrTsZPbvumQLvZjl5yCiZbZw==" saltValue="MIROv7Ya4r5K730knLM0m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qR8n5dg0ul0ugHpMrjLavY/BDbOLHAxfwnQRV0/dyL1DHWwcDeHowZ9lka0+ZKfvd19WGbzCO5DBL0DrY8wxAg==" saltValue="Rd+KVUUi1STl1DvCUlII3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56O382fhNF7h9S1r1HOoNxgtuuQIcwt1CQMbS7v2odJY0K9bc45rwxSq9SAaiiVbDO1nfglOaqGoG213MU4vA==" saltValue="3hncIgsyLuaSUOvgSBPxi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CANARIAS</v>
      </c>
      <c r="F1" s="752"/>
    </row>
    <row r="2" spans="1:75" ht="16.5" customHeight="1">
      <c r="C2" s="520" t="str">
        <f>Criterios!A10 &amp;"  "&amp;Criterios!B10 &amp; "  " &amp; IF(NOT(ISBLANK(Criterios!A11)),Criterios!A11 &amp;"  "&amp;Criterios!B11,"")</f>
        <v>Provincias  LAS PALMAS  Resumenes por Partidos Judiciales  PUERTO DEL ROSARIO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0.18756998880179171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0.13263201102883171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myZmGwVMKv/KJMSllZ+nSvCWdBoQNFkL0do5+/G2zCEgWxkieutBd99IXn6cBkfml+/x2xLUEZQG8jBUFBw1sw==" saltValue="HI/4ekOkZZlugmOV4nXf9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pGZ/hjgeHx6tU95/cHwpelG/4gvLV4gaTLm4kSq3Uo9LSN5dcMowLwLbADAgmWP6NH7+4qOZfgGCXSsl3EQ7Wg==" saltValue="0ugi7bL6O/t9HD+/qR+Uj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CANARIAS</v>
      </c>
      <c r="C2" s="399"/>
      <c r="D2" s="399"/>
      <c r="E2" s="399"/>
      <c r="F2" s="399"/>
    </row>
    <row r="3" spans="1:14" ht="19.5">
      <c r="A3" s="401" t="s">
        <v>115</v>
      </c>
      <c r="B3" s="402" t="str">
        <f>Criterios!A10 &amp;"  "&amp;Criterios!B10</f>
        <v>Provincias  LAS PALMAS</v>
      </c>
      <c r="D3" s="399"/>
      <c r="E3" s="399"/>
      <c r="F3" s="399"/>
    </row>
    <row r="4" spans="1:14" ht="13.5" thickBot="1">
      <c r="A4" s="399"/>
      <c r="B4" s="402" t="str">
        <f>Criterios!A11 &amp;"  "&amp;Criterios!B11</f>
        <v>Resumenes por Partidos Judiciales  PUERTO DEL ROSARIO</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29</v>
      </c>
      <c r="D10" s="415">
        <f>IF(ISNUMBER(C10/Datos!BH10),C10/Datos!BH10," - ")</f>
        <v>29</v>
      </c>
      <c r="E10" s="414">
        <f>IF(ISNUMBER(Datos!J10),Datos!J10," - ")</f>
        <v>24</v>
      </c>
      <c r="F10" s="415">
        <f>IF(ISNUMBER(E10/B10),E10/B10," - ")</f>
        <v>24</v>
      </c>
      <c r="G10" s="414">
        <f>IF(ISNUMBER(Datos!K10),Datos!K10," - ")</f>
        <v>18</v>
      </c>
      <c r="H10" s="415">
        <f>IF(ISNUMBER(G10/B10),G10/B10," - ")</f>
        <v>18</v>
      </c>
      <c r="I10" s="414">
        <f>IF(ISNUMBER(Datos!L10),Datos!L10," - ")</f>
        <v>35</v>
      </c>
      <c r="J10" s="415">
        <f>IF(ISNUMBER(I10/B10),I10/B10," - ")</f>
        <v>35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7</v>
      </c>
      <c r="C12" s="414">
        <f>IF(ISNUMBER(IF(J_V="SI",Datos!I12,Datos!I12+Datos!Y12)),IF(J_V="SI",Datos!I12,Datos!I12+Datos!Y12)," - ")</f>
        <v>6554</v>
      </c>
      <c r="D12" s="415">
        <f>IF(ISNUMBER(C12/Datos!BH12),C12/Datos!BH12," - ")</f>
        <v>936.28571428571433</v>
      </c>
      <c r="E12" s="414">
        <f>IF(ISNUMBER(IF(J_V="SI",Datos!J12,Datos!J12+Datos!Z12)),IF(J_V="SI",Datos!J12,Datos!J12+Datos!Z12)," - ")</f>
        <v>2235</v>
      </c>
      <c r="F12" s="415">
        <f>IF(ISNUMBER(E12/B12),E12/B12," - ")</f>
        <v>319.28571428571428</v>
      </c>
      <c r="G12" s="414">
        <f>IF(ISNUMBER(IF(J_V="SI",Datos!K12,Datos!K12+Datos!AA12)),IF(J_V="SI",Datos!K12,Datos!K12+Datos!AA12)," - ")</f>
        <v>1768</v>
      </c>
      <c r="H12" s="415">
        <f>IF(ISNUMBER(G12/B12),G12/B12," - ")</f>
        <v>252.57142857142858</v>
      </c>
      <c r="I12" s="414">
        <f>IF(ISNUMBER(IF(J_V="SI",Datos!L12,Datos!L12+Datos!AB12)),IF(J_V="SI",Datos!L12,Datos!L12+Datos!AB12)," - ")</f>
        <v>6842</v>
      </c>
      <c r="J12" s="415">
        <f>IF(ISNUMBER(I12/B12),I12/B12," - ")</f>
        <v>977.42857142857144</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7</v>
      </c>
      <c r="C13" s="995">
        <f>SUBTOTAL(9,C8:C12)</f>
        <v>6583</v>
      </c>
      <c r="D13" s="996" t="str">
        <f>IF(ISNUMBER(C13/Datos!BI13),C13/Datos!BI13," - ")</f>
        <v xml:space="preserve"> - </v>
      </c>
      <c r="E13" s="995">
        <f>SUBTOTAL(9,E8:E12)</f>
        <v>2259</v>
      </c>
      <c r="F13" s="996">
        <f>IF(ISNUMBER(E13/B13),E13/B13," - ")</f>
        <v>322.71428571428572</v>
      </c>
      <c r="G13" s="995">
        <f>SUBTOTAL(9,G8:G12)</f>
        <v>1786</v>
      </c>
      <c r="H13" s="996">
        <f>IF(ISNUMBER(G13/B13),G13/B13," - ")</f>
        <v>255.14285714285714</v>
      </c>
      <c r="I13" s="995">
        <f>SUBTOTAL(9,I8:I12)</f>
        <v>6877</v>
      </c>
      <c r="J13" s="996">
        <f>IF(ISNUMBER(I13/B13),I13/B13," - ")</f>
        <v>982.42857142857144</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7</v>
      </c>
      <c r="C16" s="414">
        <f>IF(ISNUMBER(IF(D_I="SI",Datos!I16,Datos!I16+Datos!AC16)),IF(D_I="SI",Datos!I16,Datos!I16+Datos!AC16)," - ")</f>
        <v>1967</v>
      </c>
      <c r="D16" s="415">
        <f>IF(ISNUMBER(C16/Datos!BH16),C16/Datos!BH16," - ")</f>
        <v>281</v>
      </c>
      <c r="E16" s="414">
        <f>IF(ISNUMBER(IF(D_I="SI",Datos!J16,Datos!J16+Datos!AD16)),IF(D_I="SI",Datos!J16,Datos!J16+Datos!AD16)," - ")</f>
        <v>2040</v>
      </c>
      <c r="F16" s="415">
        <f>IF(ISNUMBER(E16/B16),E16/B16," - ")</f>
        <v>291.42857142857144</v>
      </c>
      <c r="G16" s="414">
        <f>IF(ISNUMBER(IF(D_I="SI",Datos!K16,Datos!K16+Datos!AE16)),IF(D_I="SI",Datos!K16,Datos!K16+Datos!AE16)," - ")</f>
        <v>1675</v>
      </c>
      <c r="H16" s="415">
        <f>IF(ISNUMBER(G16/B16),G16/B16," - ")</f>
        <v>239.28571428571428</v>
      </c>
      <c r="I16" s="414">
        <f>IF(ISNUMBER(IF(D_I="SI",Datos!L16,Datos!L16+Datos!AF16)),IF(D_I="SI",Datos!L16,Datos!L16+Datos!AF16)," - ")</f>
        <v>2308</v>
      </c>
      <c r="J16" s="415">
        <f>IF(ISNUMBER(I16/B16),I16/B16," - ")</f>
        <v>329.71428571428572</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81</v>
      </c>
      <c r="D17" s="415">
        <f>IF(ISNUMBER(C17/Datos!BH17),C17/Datos!BH17," - ")</f>
        <v>81</v>
      </c>
      <c r="E17" s="414">
        <f>IF(ISNUMBER(IF(D_I="SI",Datos!J17,Datos!J17+Datos!AD17)),IF(D_I="SI",Datos!J17,Datos!J17+Datos!AD17)," - ")</f>
        <v>293</v>
      </c>
      <c r="F17" s="415">
        <f>IF(ISNUMBER(E17/B17),E17/B17," - ")</f>
        <v>293</v>
      </c>
      <c r="G17" s="414">
        <f>IF(ISNUMBER(IF(D_I="SI",Datos!K17,Datos!K17+Datos!AE17)),IF(D_I="SI",Datos!K17,Datos!K17+Datos!AE17)," - ")</f>
        <v>259</v>
      </c>
      <c r="H17" s="415">
        <f>IF(ISNUMBER(G17/B17),G17/B17," - ")</f>
        <v>259</v>
      </c>
      <c r="I17" s="414">
        <f>IF(ISNUMBER(IF(D_I="SI",Datos!L17,Datos!L17+Datos!AF17)),IF(D_I="SI",Datos!L17,Datos!L17+Datos!AF17)," - ")</f>
        <v>119</v>
      </c>
      <c r="J17" s="415">
        <f>IF(ISNUMBER(I17/B17),I17/B17," - ")</f>
        <v>119</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7</v>
      </c>
      <c r="C18" s="995">
        <f>SUBTOTAL(9,C14:C17)</f>
        <v>2048</v>
      </c>
      <c r="D18" s="996" t="str">
        <f>IF(ISNUMBER(C18/Datos!BI18),C18/Datos!BI18," - ")</f>
        <v xml:space="preserve"> - </v>
      </c>
      <c r="E18" s="995">
        <f>SUBTOTAL(9,E14:E17)</f>
        <v>2333</v>
      </c>
      <c r="F18" s="996">
        <f>IF(ISNUMBER(E18/B18),E18/B18," - ")</f>
        <v>333.28571428571428</v>
      </c>
      <c r="G18" s="995">
        <f>SUBTOTAL(9,G14:G17)</f>
        <v>1934</v>
      </c>
      <c r="H18" s="996">
        <f>IF(ISNUMBER(G18/B18),G18/B18," - ")</f>
        <v>276.28571428571428</v>
      </c>
      <c r="I18" s="995">
        <f>SUBTOTAL(9,I14:I17)</f>
        <v>2427</v>
      </c>
      <c r="J18" s="996">
        <f>IF(ISNUMBER(I18/B18),I18/B18," - ")</f>
        <v>346.71428571428572</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7</v>
      </c>
      <c r="C19" s="940">
        <f>SUBTOTAL(9,C9:C18)</f>
        <v>8631</v>
      </c>
      <c r="D19" s="941" t="str">
        <f>IF(ISNUMBER(C19/Datos!BI19),C19/Datos!BI19," - ")</f>
        <v xml:space="preserve"> - </v>
      </c>
      <c r="E19" s="940">
        <f>SUBTOTAL(9,E9:E18)</f>
        <v>4592</v>
      </c>
      <c r="F19" s="941">
        <f>IF(ISNUMBER(E19/B19),E19/B19," - ")</f>
        <v>656</v>
      </c>
      <c r="G19" s="940">
        <f>SUBTOTAL(9,G9:G18)</f>
        <v>3720</v>
      </c>
      <c r="H19" s="941">
        <f>IF(ISNUMBER(G19/B19),G19/B19," - ")</f>
        <v>531.42857142857144</v>
      </c>
      <c r="I19" s="940">
        <f>SUBTOTAL(9,I9:I18)</f>
        <v>9304</v>
      </c>
      <c r="J19" s="941">
        <f>IF(ISNUMBER(I19/B19),I19/B19," - ")</f>
        <v>1329.1428571428571</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SwUL6yjaUOkvD/xanGyrHVg+Qa1QGFX4ITQHqDZfbOX8GEv7KZXYScQ+s/1a+TSJJ/DfyGn0RPhm0WKFa5OEAA==" saltValue="xCYiZAgLnPwLGpqDe02lf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CANARIAS</v>
      </c>
      <c r="F1" s="752"/>
      <c r="W1"/>
      <c r="X1"/>
      <c r="BE1" s="752"/>
    </row>
    <row r="2" spans="1:65" ht="16.5" customHeight="1">
      <c r="C2" s="520" t="str">
        <f>Criterios!A10 &amp;"  "&amp;Criterios!B10 &amp; "  " &amp; IF(NOT(ISBLANK(Criterios!A11)),Criterios!A11 &amp;"  "&amp;Criterios!B11,"")</f>
        <v>Provincias  LAS PALMAS  Resumenes por Partidos Judiciales  PUERTO DEL ROSARIO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29</v>
      </c>
      <c r="G10" s="802">
        <f>IF(ISNUMBER(Datos!I10),Datos!I10," - ")</f>
        <v>29</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18</v>
      </c>
      <c r="AC10" s="801" t="str">
        <f>IF(ISNUMBER(IF(D_I="SI",DatosP!K17,DatosP!K17+DatosP!AE17)),IF(D_I="SI",DatosP!K17,DatosP!K17+DatosP!AE17)," - ")</f>
        <v xml:space="preserve"> - </v>
      </c>
      <c r="AD10" s="803"/>
      <c r="AE10" s="803"/>
      <c r="AF10" s="806">
        <f>IF(ISNUMBER(Datos!L10),Datos!L10,"-")</f>
        <v>35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6</v>
      </c>
      <c r="AM10" s="810">
        <f>IF(ISNUMBER(Datos!N10+DatosP!N17),Datos!N10+DatosP!N17," - ")</f>
        <v>8</v>
      </c>
      <c r="AN10" s="810">
        <f>IF(ISNUMBER(Datos!BW10+DatosP!BW17),Datos!BW10+DatosP!BW17," - ")</f>
        <v>0</v>
      </c>
      <c r="AO10" s="811">
        <f>IF(ISNUMBER(Datos!BX10+DatosP!BX17),Datos!BX10+DatosP!BX17," - ")</f>
        <v>0</v>
      </c>
      <c r="AP10" s="813">
        <f>IF(ISNUMBER(((Datos!L10/Datos!K10)*11)/factor_trimestre),((Datos!L10/Datos!K10)*11)/factor_trimestre," - ")</f>
        <v>3.8888888888888888</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7</v>
      </c>
      <c r="B12" s="653" t="s">
        <v>249</v>
      </c>
      <c r="C12" s="654" t="str">
        <f>Datos!A12</f>
        <v xml:space="preserve">Jdos. 1ª Instª. e Instr.                        </v>
      </c>
      <c r="D12" s="548"/>
      <c r="E12" s="800">
        <f>IF(ISNUMBER(Datos!AQ12),Datos!AQ12," - ")</f>
        <v>7</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262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216</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6109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329</v>
      </c>
      <c r="AM12" s="810">
        <f>IF(ISNUMBER(Datos!N12+DatosP!N16),Datos!N12+DatosP!N16," - ")</f>
        <v>973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7.7398190045248869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7.5870031337621638E-3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7</v>
      </c>
      <c r="F13" s="1084">
        <f t="shared" si="0"/>
        <v>29</v>
      </c>
      <c r="G13" s="1084">
        <f t="shared" si="0"/>
        <v>29</v>
      </c>
      <c r="H13" s="1084">
        <f t="shared" si="0"/>
        <v>0</v>
      </c>
      <c r="I13" s="1086">
        <f t="shared" si="0"/>
        <v>0</v>
      </c>
      <c r="J13" s="1085">
        <f t="shared" si="0"/>
        <v>0</v>
      </c>
      <c r="K13" s="1085">
        <f t="shared" si="0"/>
        <v>0</v>
      </c>
      <c r="L13" s="1087">
        <f t="shared" si="0"/>
        <v>0</v>
      </c>
      <c r="M13" s="1087">
        <f t="shared" si="0"/>
        <v>0</v>
      </c>
      <c r="N13" s="1085">
        <f t="shared" si="0"/>
        <v>263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18</v>
      </c>
      <c r="AC13" s="1085">
        <f t="shared" si="1"/>
        <v>0</v>
      </c>
      <c r="AD13" s="1085">
        <f t="shared" si="1"/>
        <v>216</v>
      </c>
      <c r="AE13" s="1085">
        <f t="shared" si="1"/>
        <v>0</v>
      </c>
      <c r="AF13" s="1085">
        <f t="shared" si="1"/>
        <v>35</v>
      </c>
      <c r="AG13" s="1085">
        <f t="shared" si="1"/>
        <v>0</v>
      </c>
      <c r="AH13" s="1085">
        <f t="shared" si="1"/>
        <v>6109</v>
      </c>
      <c r="AI13" s="1085">
        <f t="shared" si="1"/>
        <v>0</v>
      </c>
      <c r="AJ13" s="1085">
        <f t="shared" si="1"/>
        <v>0</v>
      </c>
      <c r="AK13" s="1085">
        <f t="shared" si="1"/>
        <v>0</v>
      </c>
      <c r="AL13" s="1085">
        <f t="shared" si="1"/>
        <v>335</v>
      </c>
      <c r="AM13" s="1085">
        <f t="shared" si="1"/>
        <v>981</v>
      </c>
      <c r="AN13" s="1085">
        <f t="shared" si="1"/>
        <v>0</v>
      </c>
      <c r="AO13" s="1085">
        <f t="shared" si="1"/>
        <v>0</v>
      </c>
      <c r="AP13" s="1090">
        <f>IF(ISNUMBER(((Datos!L13/Datos!K13)*11)/factor_trimestre),((Datos!L13/Datos!K13)*11)/factor_trimestre," - ")</f>
        <v>7.9553466509988251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-0.62068965517241381</v>
      </c>
      <c r="AU13" s="1085" t="str">
        <f>IF(ISNUMBER((DatosP!#REF!-DatosP!#REF!+DatosP!#REF!)/(DatosP!#REF!+DatosP!#REF!-DatosP!#REF!-DatosP!#REF!)),(DatosP!#REF!-DatosP!#REF!+DatosP!#REF!)/(DatosP!#REF!+DatosP!#REF!-DatosP!#REF!-DatosP!#REF!)," - ")</f>
        <v xml:space="preserve"> - </v>
      </c>
      <c r="AV13" s="1091">
        <f>SUBTOTAL(9,AV9:AV12)</f>
        <v>7.5870031337621638E-3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7</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2.5098241985522232</v>
      </c>
      <c r="AQ18" s="1090">
        <f>IF(ISNUMBER(((Datos!M18/Datos!L18)*11)/factor_trimestre),((Datos!M18/Datos!L18)*11)/factor_trimestre," - ")</f>
        <v>0.24557066337041619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1.7621145374449341E-2</v>
      </c>
      <c r="AW18" s="1092">
        <f>IF(ISNUMBER((Datos!Q18-Datos!R18)/(Datos!S18-Datos!Q18+Datos!R18)),(Datos!Q18-Datos!R18)/(Datos!S18-Datos!Q18+Datos!R18)," - ")</f>
        <v>-0.15823754789272029</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7</v>
      </c>
      <c r="F19" s="1097">
        <f t="shared" si="4"/>
        <v>29</v>
      </c>
      <c r="G19" s="1097">
        <f t="shared" si="4"/>
        <v>29</v>
      </c>
      <c r="H19" s="1097">
        <f t="shared" si="4"/>
        <v>0</v>
      </c>
      <c r="I19" s="1098">
        <f t="shared" si="4"/>
        <v>0</v>
      </c>
      <c r="J19" s="1099">
        <f t="shared" si="4"/>
        <v>0</v>
      </c>
      <c r="K19" s="1099">
        <f t="shared" si="4"/>
        <v>0</v>
      </c>
      <c r="L19" s="1099">
        <f t="shared" si="4"/>
        <v>0</v>
      </c>
      <c r="M19" s="1099">
        <f t="shared" si="4"/>
        <v>0</v>
      </c>
      <c r="N19" s="1098">
        <f t="shared" si="4"/>
        <v>263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18</v>
      </c>
      <c r="AC19" s="1103">
        <f t="shared" si="5"/>
        <v>0</v>
      </c>
      <c r="AD19" s="1103">
        <f t="shared" si="5"/>
        <v>216</v>
      </c>
      <c r="AE19" s="1103">
        <f t="shared" si="5"/>
        <v>0</v>
      </c>
      <c r="AF19" s="1104">
        <f t="shared" si="5"/>
        <v>35</v>
      </c>
      <c r="AG19" s="1104">
        <f t="shared" si="5"/>
        <v>0</v>
      </c>
      <c r="AH19" s="1104">
        <f t="shared" si="5"/>
        <v>6109</v>
      </c>
      <c r="AI19" s="1104">
        <f t="shared" si="5"/>
        <v>0</v>
      </c>
      <c r="AJ19" s="1105">
        <f t="shared" si="5"/>
        <v>0</v>
      </c>
      <c r="AK19" s="1105">
        <f t="shared" si="5"/>
        <v>0</v>
      </c>
      <c r="AL19" s="1097">
        <f t="shared" si="5"/>
        <v>335</v>
      </c>
      <c r="AM19" s="1097">
        <f t="shared" si="5"/>
        <v>981</v>
      </c>
      <c r="AN19" s="1097">
        <f t="shared" si="5"/>
        <v>0</v>
      </c>
      <c r="AO19" s="1097">
        <f t="shared" si="5"/>
        <v>0</v>
      </c>
      <c r="AP19" s="1097">
        <f>IF(ISNUMBER(((Datos!L19/Datos!K19)*11)/factor_trimestre),((Datos!L19/Datos!K19)*11)/factor_trimestre," - ")</f>
        <v>5.0588558855885593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-0.62068965517241381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7.7981651376146793E-3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19.333333333333332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3.614784456460256</v>
      </c>
      <c r="F21" s="869">
        <f>IF(ISNUMBER(STDEV(F8:F18)),STDEV(F8:F18),"-")</f>
        <v>16.743157806499148</v>
      </c>
      <c r="G21" s="870">
        <f>IF(ISNUMBER(STDEV(G8:G18)),STDEV(G8:G18),"-")</f>
        <v>16.743157806499148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10.392304845413264</v>
      </c>
      <c r="AC21" s="871">
        <f>IF(ISNUMBER(STDEV(AC8:AC18)),STDEV(AC8:AC18),"-")</f>
        <v>0</v>
      </c>
      <c r="AD21" s="874"/>
      <c r="AE21" s="874"/>
      <c r="AF21" s="874"/>
      <c r="AG21" s="874"/>
      <c r="AH21" s="874"/>
      <c r="AI21" s="874"/>
      <c r="AJ21" s="875">
        <f>IF(ISNUMBER(STDEV(AJ8:AJ18)),STDEV(AJ8:AJ18),"-")</f>
        <v>0</v>
      </c>
      <c r="AK21" s="877"/>
      <c r="AL21" s="869">
        <f>IF(ISNUMBER(STDEV(AL8:AL18)),STDEV(AL8:AL18),"-")</f>
        <v>189.97982349010996</v>
      </c>
      <c r="AM21" s="869"/>
      <c r="AN21" s="869">
        <f>IF(ISNUMBER(STDEV(AN8:AN18)),STDEV(AN8:AN18),"-")</f>
        <v>0</v>
      </c>
      <c r="AO21" s="875">
        <f>IF(ISNUMBER(STDEV(AO8:AO18)),STDEV(AO8:AO18),"-")</f>
        <v>0</v>
      </c>
      <c r="AP21" s="922">
        <f>IF(ISNUMBER(STDEV(AP8:AP18)),STDEV(AP8:AP18),"-")</f>
        <v>2.7434858228730565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8BENSltJuVa3bKukiQuZNxMQOkV25ctSRpt8COR/wvOOkWO8Jizw9DqDkBkzWdMjUgJVoq/I5rwnl33GpoqlKg==" saltValue="xcGgs/FsntL01w43xDRX4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CANARIAS</v>
      </c>
      <c r="C2" s="399"/>
      <c r="E2" s="399"/>
      <c r="F2" s="399"/>
      <c r="G2" s="399"/>
      <c r="H2" s="399"/>
    </row>
    <row r="3" spans="1:15" ht="39">
      <c r="A3" s="426" t="s">
        <v>221</v>
      </c>
      <c r="B3" s="402" t="str">
        <f>Criterios!A10 &amp;"  "&amp;Criterios!B10</f>
        <v>Provincias  LAS PALMAS</v>
      </c>
      <c r="C3" s="426"/>
      <c r="F3" s="399"/>
      <c r="G3" s="399"/>
      <c r="H3" s="399"/>
    </row>
    <row r="4" spans="1:15" ht="13.5" thickBot="1">
      <c r="A4" s="399"/>
      <c r="B4" s="402" t="str">
        <f>Criterios!A11 &amp;"  "&amp;Criterios!B11</f>
        <v>Resumenes por Partidos Judiciales  PUERTO DEL ROSARIO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7</v>
      </c>
      <c r="D12" s="414">
        <f>Datos!BK12</f>
        <v>0</v>
      </c>
      <c r="E12" s="414">
        <f>Datos!AQ12</f>
        <v>7</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7</v>
      </c>
      <c r="D16" s="414">
        <f>Datos!BK16</f>
        <v>0</v>
      </c>
      <c r="E16" s="414">
        <f>Datos!AQ16</f>
        <v>7</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HifJV+40nI5sCuOS+vneXY7I/Rx1J0IGxPHmx3yzKx2j05M75/os8mOHszmU63Dvl87noo2x1+Z68gO3xK0SUw==" saltValue="2lcJ8YyfzjdCY5Jsgj573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CANARIAS</v>
      </c>
      <c r="C2" s="438"/>
      <c r="D2" s="381"/>
    </row>
    <row r="3" spans="1:9" ht="19.5">
      <c r="A3" s="439" t="s">
        <v>11</v>
      </c>
      <c r="B3" s="440" t="str">
        <f>Criterios!A10 &amp;"  "&amp;Criterios!B10</f>
        <v>Provincias  LAS PALMAS</v>
      </c>
      <c r="C3" s="438"/>
      <c r="D3" s="439"/>
    </row>
    <row r="4" spans="1:9" ht="13.5" thickBot="1">
      <c r="B4" s="440" t="str">
        <f>Criterios!A11 &amp;"  "&amp;Criterios!B11</f>
        <v>Resumenes por Partidos Judiciales  PUERTO DEL ROSARIO</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6</v>
      </c>
      <c r="E10" s="415">
        <f>IF(ISNUMBER(D10/B10),D10/B10," - ")</f>
        <v>6</v>
      </c>
      <c r="F10" s="414">
        <f>IF(ISNUMBER(Datos!N10),Datos!N10," - ")</f>
        <v>8</v>
      </c>
      <c r="G10" s="415">
        <f>IF(ISNUMBER(F10/B10),F10/B10," - ")</f>
        <v>8</v>
      </c>
      <c r="H10" s="414">
        <f>IF(ISNUMBER(Datos!O10),Datos!O10," - ")</f>
        <v>4</v>
      </c>
      <c r="I10" s="415">
        <f t="shared" ref="I10:I12" si="2">IF(ISNUMBER(H10/B10),H10/B10," - ")</f>
        <v>4</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7</v>
      </c>
      <c r="C12" s="421">
        <f>Datos!AQ12</f>
        <v>7</v>
      </c>
      <c r="D12" s="414">
        <f>IF(ISNUMBER(Datos!M12),Datos!M12," - ")</f>
        <v>329</v>
      </c>
      <c r="E12" s="415">
        <f t="shared" si="0"/>
        <v>47</v>
      </c>
      <c r="F12" s="414">
        <f>IF(ISNUMBER(Datos!N12),Datos!N12," - ")</f>
        <v>973</v>
      </c>
      <c r="G12" s="415">
        <f t="shared" si="1"/>
        <v>139</v>
      </c>
      <c r="H12" s="414">
        <f>IF(ISNUMBER(Datos!O12),Datos!O12," - ")</f>
        <v>475</v>
      </c>
      <c r="I12" s="415">
        <f t="shared" si="2"/>
        <v>67.857142857142861</v>
      </c>
    </row>
    <row r="13" spans="1:9" ht="14.25" thickTop="1" thickBot="1">
      <c r="A13" s="994" t="str">
        <f>Datos!A13</f>
        <v>TOTAL</v>
      </c>
      <c r="B13" s="995">
        <f>Datos!AO13</f>
        <v>8</v>
      </c>
      <c r="C13" s="997">
        <f>Datos!AR13</f>
        <v>7</v>
      </c>
      <c r="D13" s="995">
        <f>SUBTOTAL(9,D9:D12)</f>
        <v>335</v>
      </c>
      <c r="E13" s="996">
        <f t="shared" si="0"/>
        <v>41.875</v>
      </c>
      <c r="F13" s="995">
        <f>SUBTOTAL(9,F9:F12)</f>
        <v>981</v>
      </c>
      <c r="G13" s="996">
        <f t="shared" si="1"/>
        <v>122.625</v>
      </c>
      <c r="H13" s="995">
        <f>SUBTOTAL(9,H9:H12)</f>
        <v>479</v>
      </c>
      <c r="I13" s="996">
        <f>IF(ISNUMBER(H13/B13),H13/B13," - ")</f>
        <v>59.875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7</v>
      </c>
      <c r="C16" s="444">
        <f>Datos!AQ16</f>
        <v>7</v>
      </c>
      <c r="D16" s="414">
        <f>IF(ISNUMBER(Datos!M16),Datos!M16," - ")</f>
        <v>247</v>
      </c>
      <c r="E16" s="415">
        <f t="shared" si="3"/>
        <v>35.285714285714285</v>
      </c>
      <c r="F16" s="414">
        <f>IF(ISNUMBER(Datos!N16),Datos!N16," - ")</f>
        <v>1246</v>
      </c>
      <c r="G16" s="415">
        <f t="shared" si="4"/>
        <v>178</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51</v>
      </c>
      <c r="E17" s="415">
        <f>IF(ISNUMBER(D17/B17),D17/B17," - ")</f>
        <v>51</v>
      </c>
      <c r="F17" s="414">
        <f>IF(ISNUMBER(Datos!N17),Datos!N17," - ")</f>
        <v>145</v>
      </c>
      <c r="G17" s="415">
        <f>IF(ISNUMBER(F17/B17),F17/B17," - ")</f>
        <v>145</v>
      </c>
      <c r="H17" s="414">
        <f>IF(ISNUMBER(Datos!O17),Datos!O17," - ")</f>
        <v>6</v>
      </c>
      <c r="I17" s="415">
        <f t="shared" si="5"/>
        <v>6</v>
      </c>
    </row>
    <row r="18" spans="1:9" ht="14.25" thickTop="1" thickBot="1">
      <c r="A18" s="994" t="str">
        <f>Datos!A18</f>
        <v>TOTAL</v>
      </c>
      <c r="B18" s="995">
        <f>Datos!AO18</f>
        <v>8</v>
      </c>
      <c r="C18" s="997">
        <f>Datos!AR18</f>
        <v>7</v>
      </c>
      <c r="D18" s="995">
        <f>SUBTOTAL(9,D15:D17)</f>
        <v>298</v>
      </c>
      <c r="E18" s="996">
        <f t="shared" si="3"/>
        <v>37.25</v>
      </c>
      <c r="F18" s="995">
        <f>SUBTOTAL(9,F15:F17)</f>
        <v>1391</v>
      </c>
      <c r="G18" s="996">
        <f t="shared" si="4"/>
        <v>173.875</v>
      </c>
      <c r="H18" s="995">
        <f>SUBTOTAL(9,H15:H17)</f>
        <v>6</v>
      </c>
      <c r="I18" s="996">
        <f>IF(ISNUMBER(H18/B18),H18/B18," - ")</f>
        <v>0.75</v>
      </c>
    </row>
    <row r="19" spans="1:9" ht="14.25" thickTop="1" thickBot="1">
      <c r="A19" s="939" t="str">
        <f>Datos!A19</f>
        <v>TOTAL JURISDICCIONES</v>
      </c>
      <c r="B19" s="940">
        <f>Datos!AP19</f>
        <v>7</v>
      </c>
      <c r="C19" s="940">
        <f>Datos!AR19</f>
        <v>7</v>
      </c>
      <c r="D19" s="940">
        <f>SUBTOTAL(9,D8:D18)</f>
        <v>633</v>
      </c>
      <c r="E19" s="941">
        <f>IF(ISNUMBER(D19/B19),D19/B19," - ")</f>
        <v>90.428571428571431</v>
      </c>
      <c r="F19" s="940">
        <f>SUBTOTAL(9,F8:F18)</f>
        <v>2372</v>
      </c>
      <c r="G19" s="941">
        <f>IF(ISNUMBER(F19/B19),F19/B19," - ")</f>
        <v>338.85714285714283</v>
      </c>
      <c r="H19" s="940">
        <f>SUBTOTAL(9,H8:H18)</f>
        <v>485</v>
      </c>
      <c r="I19" s="941">
        <f>IF(ISNUMBER(H19/B19),H19/B19," - ")</f>
        <v>69.285714285714292</v>
      </c>
    </row>
    <row r="22" spans="1:9">
      <c r="A22" s="402" t="str">
        <f>Criterios!A4</f>
        <v>Fecha Informe: 29 nov. 2023</v>
      </c>
    </row>
    <row r="27" spans="1:9">
      <c r="A27" s="425"/>
    </row>
  </sheetData>
  <sheetProtection algorithmName="SHA-512" hashValue="mrx2SwzBHyRuQG4Ie6/NG8QgjqWExFaXBTQkOegrJqKqp0mkeZAwwXZCx85+h5R2wDxl3BCYxZTkxSH2CRzWxw==" saltValue="B8gzWVP2w+nvwiAAab+as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CANARIAS</v>
      </c>
    </row>
    <row r="3" spans="1:4" ht="19.5">
      <c r="A3" s="445" t="s">
        <v>32</v>
      </c>
      <c r="B3" s="402" t="str">
        <f>Criterios!A10 &amp;"  "&amp;Criterios!B10</f>
        <v>Provincias  LAS PALMAS</v>
      </c>
    </row>
    <row r="4" spans="1:4" ht="13.5" thickBot="1">
      <c r="B4" s="402" t="str">
        <f>Criterios!A11 &amp;"  "&amp;Criterios!B11</f>
        <v>Resumenes por Partidos Judiciales  PUERTO DEL ROSARIO</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4</v>
      </c>
      <c r="D10" s="419">
        <f>IF(ISNUMBER(Datos!R10),Datos!R10," - ")</f>
        <v>20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262</v>
      </c>
      <c r="C12" s="450">
        <f>IF(ISNUMBER(Datos!Q12),Datos!Q12," - ")</f>
        <v>216</v>
      </c>
      <c r="D12" s="419">
        <f>IF(ISNUMBER(Datos!R12),Datos!R12," - ")</f>
        <v>6109</v>
      </c>
    </row>
    <row r="13" spans="1:4" ht="14.25" thickTop="1" thickBot="1">
      <c r="A13" s="994" t="str">
        <f>Datos!A13</f>
        <v>TOTAL</v>
      </c>
      <c r="B13" s="995">
        <f>SUBTOTAL(9,B9:B12)</f>
        <v>263</v>
      </c>
      <c r="C13" s="999">
        <f>SUBTOTAL(9,C9:C12)</f>
        <v>220</v>
      </c>
      <c r="D13" s="997">
        <f>SUBTOTAL(9,D9:D12)</f>
        <v>6129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51</v>
      </c>
      <c r="C16" s="450">
        <f>IF(ISNUMBER(Datos!Q16),Datos!Q16," - ")</f>
        <v>43</v>
      </c>
      <c r="D16" s="419">
        <f>IF(ISNUMBER(Datos!R16),Datos!R16," - ")</f>
        <v>438</v>
      </c>
    </row>
    <row r="17" spans="1:4" ht="13.5" thickBot="1">
      <c r="A17" s="413" t="str">
        <f>Datos!A17</f>
        <v>Jdos. Violencia contra la mujer</v>
      </c>
      <c r="B17" s="449">
        <f>IF(ISNUMBER(Datos!P17),Datos!P17," - ")</f>
        <v>6</v>
      </c>
      <c r="C17" s="450">
        <f>IF(ISNUMBER(Datos!Q17),Datos!Q17," - ")</f>
        <v>6</v>
      </c>
      <c r="D17" s="419">
        <f>IF(ISNUMBER(Datos!R17),Datos!R17," - ")</f>
        <v>24</v>
      </c>
    </row>
    <row r="18" spans="1:4" ht="14.25" thickTop="1" thickBot="1">
      <c r="A18" s="994" t="str">
        <f>Datos!A18</f>
        <v>TOTAL</v>
      </c>
      <c r="B18" s="995">
        <f>SUBTOTAL(9,B15:B17)</f>
        <v>57</v>
      </c>
      <c r="C18" s="999">
        <f>SUBTOTAL(9,C15:C17)</f>
        <v>49</v>
      </c>
      <c r="D18" s="997">
        <f>SUBTOTAL(9,D15:D17)</f>
        <v>462</v>
      </c>
    </row>
    <row r="19" spans="1:4" ht="16.5" customHeight="1" thickTop="1" thickBot="1">
      <c r="A19" s="939" t="str">
        <f>Datos!A19</f>
        <v>TOTAL JURISDICCIONES</v>
      </c>
      <c r="B19" s="944">
        <f>SUBTOTAL(9,B8:B18)</f>
        <v>320</v>
      </c>
      <c r="C19" s="945">
        <f>SUBTOTAL(9,C8:C18)</f>
        <v>269</v>
      </c>
      <c r="D19" s="946">
        <f>SUBTOTAL(9,D8:D18)</f>
        <v>6591</v>
      </c>
    </row>
    <row r="20" spans="1:4" ht="7.5" customHeight="1"/>
    <row r="21" spans="1:4" ht="6" customHeight="1"/>
    <row r="22" spans="1:4">
      <c r="A22" s="402" t="str">
        <f>Criterios!A4</f>
        <v>Fecha Informe: 29 nov. 2023</v>
      </c>
    </row>
    <row r="27" spans="1:4">
      <c r="A27" s="425"/>
    </row>
  </sheetData>
  <sheetProtection algorithmName="SHA-512" hashValue="NxsvEpnvNEBBohNMW7Ta3sOx46an4wMMw6CAVAt0t5vi5pCzdScIAYXHeutowXrhB1KQ6fkgLJ6n6yR0j04EmQ==" saltValue="sUwbcZFTTBqknWHZXj1WA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CANARIAS</v>
      </c>
    </row>
    <row r="3" spans="1:11" ht="18.75" customHeight="1">
      <c r="A3" s="445" t="s">
        <v>118</v>
      </c>
      <c r="B3" s="402" t="str">
        <f>Criterios!A10 &amp;"  "&amp;Criterios!B10</f>
        <v>Provincias  LAS PALMAS</v>
      </c>
    </row>
    <row r="4" spans="1:11" ht="10.5" customHeight="1" thickBot="1">
      <c r="B4" s="402" t="str">
        <f>Criterios!A11 &amp;"  "&amp;Criterios!B11</f>
        <v>Resumenes por Partidos Judiciales  PUERTO DEL ROSARIO</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-0.35555555555555557</v>
      </c>
      <c r="C10" s="472">
        <f>IF(ISNUMBER((Datos!J10-Datos!T10)/Datos!T10),(Datos!J10-Datos!T10)/Datos!T10," - ")</f>
        <v>-0.1111111111111111</v>
      </c>
      <c r="D10" s="472">
        <f>IF(ISNUMBER((Datos!K10-Datos!U10)/Datos!U10),(Datos!K10-Datos!U10)/Datos!U10," - ")</f>
        <v>-0.51351351351351349</v>
      </c>
      <c r="E10" s="472">
        <f>IF(ISNUMBER((Datos!L10-Datos!V10)/Datos!V10),(Datos!L10-Datos!V10)/Datos!V10," - ")</f>
        <v>-2.7777777777777776E-2</v>
      </c>
      <c r="F10" s="472">
        <f>IF(ISNUMBER((Datos!M10-Datos!W10)/Datos!W10),(Datos!M10-Datos!W10)/Datos!W10," - ")</f>
        <v>-0.53846153846153844</v>
      </c>
      <c r="G10" s="473">
        <f>IF(ISNUMBER((Datos!N10-Datos!X10)/Datos!X10),(Datos!N10-Datos!X10)/Datos!X10," - ")</f>
        <v>-0.61904761904761907</v>
      </c>
      <c r="H10" s="471">
        <f>IF(ISNUMBER(((NºAsuntos!G10/NºAsuntos!E10)-Datos!BD10)/Datos!BD10),((NºAsuntos!G10/NºAsuntos!E10)-Datos!BD10)/Datos!BD10," - ")</f>
        <v>-0.45270270270270274</v>
      </c>
      <c r="I10" s="472">
        <f>IF(ISNUMBER(((NºAsuntos!I10/NºAsuntos!G10)-Datos!BE10)/Datos!BE10),((NºAsuntos!I10/NºAsuntos!G10)-Datos!BE10)/Datos!BE10," - ")</f>
        <v>0.99845679012345667</v>
      </c>
      <c r="J10" s="477">
        <f>IF(ISNUMBER((('Resol  Asuntos'!D10/NºAsuntos!G10)-Datos!BF10)/Datos!BF10),(('Resol  Asuntos'!D10/NºAsuntos!G10)-Datos!BF10)/Datos!BF10," - ")</f>
        <v>-5.1282051282051384E-2</v>
      </c>
      <c r="K10" s="478">
        <f>IF(ISNUMBER((((NºAsuntos!C10+NºAsuntos!E10)/NºAsuntos!G10)-Datos!BG10)/Datos!BG10),(((NºAsuntos!C10+NºAsuntos!E10)/NºAsuntos!G10)-Datos!BG10)/Datos!BG10," - ")</f>
        <v>0.51311728395061729</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9.2697565855285088E-2</v>
      </c>
      <c r="C12" s="472">
        <f>IF(ISNUMBER(
   IF(J_V="SI",(Datos!J12-Datos!T12)/Datos!T12,(Datos!J12+Datos!Z12-(Datos!T12+Datos!AH12))/(Datos!T12+Datos!AH12))
     ),IF(J_V="SI",(Datos!J12-Datos!T12)/Datos!T12,(Datos!J12+Datos!Z12-(Datos!T12+Datos!AH12))/(Datos!T12+Datos!AH12))," - ")</f>
        <v>4.97886331611085E-2</v>
      </c>
      <c r="D12" s="472">
        <f>IF(ISNUMBER(
   IF(J_V="SI",(Datos!K12-Datos!U12)/Datos!U12,(Datos!K12+Datos!AA12-(Datos!U12+Datos!AI12))/(Datos!U12+Datos!AI12))
     ),IF(J_V="SI",(Datos!K12-Datos!U12)/Datos!U12,(Datos!K12+Datos!AA12-(Datos!U12+Datos!AI12))/(Datos!U12+Datos!AI12))," - ")</f>
        <v>-0.20575022461814915</v>
      </c>
      <c r="E12" s="472">
        <f>IF(ISNUMBER(
   IF(J_V="SI",(Datos!L12-Datos!V12)/Datos!V12,(Datos!L12+Datos!AB12-(Datos!V12+Datos!AJ12))/(Datos!V12+Datos!AJ12))
     ),IF(J_V="SI",(Datos!L12-Datos!V12)/Datos!V12,(Datos!L12+Datos!AB12-(Datos!V12+Datos!AJ12))/(Datos!V12+Datos!AJ12))," - ")</f>
        <v>0.13466003316749586</v>
      </c>
      <c r="F12" s="472">
        <f>IF(ISNUMBER((Datos!M12-Datos!W12)/Datos!W12),(Datos!M12-Datos!W12)/Datos!W12," - ")</f>
        <v>-0.14322916666666666</v>
      </c>
      <c r="G12" s="473">
        <f>IF(ISNUMBER((Datos!N12-Datos!X12)/Datos!X12),(Datos!N12-Datos!X12)/Datos!X12," - ")</f>
        <v>-0.29029905178701676</v>
      </c>
      <c r="H12" s="471">
        <f>IF(ISNUMBER(((NºAsuntos!G12/NºAsuntos!E12)-Datos!BD12)/Datos!BD12),((NºAsuntos!G12/NºAsuntos!E12)-Datos!BD12)/Datos!BD12," - ")</f>
        <v>-0.24341934148189687</v>
      </c>
      <c r="I12" s="472">
        <f>IF(ISNUMBER(((NºAsuntos!I12/NºAsuntos!G12)-Datos!BE12)/Datos!BE12),((NºAsuntos!I12/NºAsuntos!G12)-Datos!BE12)/Datos!BE12," - ")</f>
        <v>0.42859345804912102</v>
      </c>
      <c r="J12" s="477">
        <f>IF(ISNUMBER((('Resol  Asuntos'!D12/NºAsuntos!G12)-Datos!BF12)/Datos!BF12),(('Resol  Asuntos'!D12/NºAsuntos!G12)-Datos!BF12)/Datos!BF12," - ")</f>
        <v>-0.69786478806301178</v>
      </c>
      <c r="K12" s="478">
        <f>IF(ISNUMBER((((NºAsuntos!C12+NºAsuntos!E12)/NºAsuntos!G12)-Datos!BG12)/Datos!BG12),(((NºAsuntos!C12+NºAsuntos!E12)/NºAsuntos!G12)-Datos!BG12)/Datos!BG12," - ")</f>
        <v>0.36160803021268129</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8.9359589607810694E-2</v>
      </c>
      <c r="C13" s="1001">
        <f>IF(ISNUMBER(
   IF(J_V="SI",(Datos!J13-Datos!T13)/Datos!T13,(Datos!J13+Datos!Z13-(Datos!T13+Datos!AH13))/(Datos!T13+Datos!AH13))
     ),IF(J_V="SI",(Datos!J13-Datos!T13)/Datos!T13,(Datos!J13+Datos!Z13-(Datos!T13+Datos!AH13))/(Datos!T13+Datos!AH13))," - ")</f>
        <v>4.7773654916512059E-2</v>
      </c>
      <c r="D13" s="1001">
        <f>IF(ISNUMBER(
   IF(J_V="SI",(Datos!K13-Datos!U13)/Datos!U13,(Datos!K13+Datos!AA13-(Datos!U13+Datos!AI13))/(Datos!U13+Datos!AI13))
     ),IF(J_V="SI",(Datos!K13-Datos!U13)/Datos!U13,(Datos!K13+Datos!AA13-(Datos!U13+Datos!AI13))/(Datos!U13+Datos!AI13))," - ")</f>
        <v>-0.21078214759169245</v>
      </c>
      <c r="E13" s="1001">
        <f>IF(ISNUMBER(
   IF(J_V="SI",(Datos!L13-Datos!V13)/Datos!V13,(Datos!L13+Datos!AB13-(Datos!V13+Datos!AJ13))/(Datos!V13+Datos!AJ13))
     ),IF(J_V="SI",(Datos!L13-Datos!V13)/Datos!V13,(Datos!L13+Datos!AB13-(Datos!V13+Datos!AJ13))/(Datos!V13+Datos!AJ13))," - ")</f>
        <v>0.13369601055060995</v>
      </c>
      <c r="F13" s="1002">
        <f>IF(ISNUMBER((Datos!M13-Datos!W13)/Datos!W13),(Datos!M13-Datos!W13)/Datos!W13," - ")</f>
        <v>-0.15617128463476071</v>
      </c>
      <c r="G13" s="1003">
        <f>IF(ISNUMBER((Datos!N13-Datos!X13)/Datos!X13),(Datos!N13-Datos!X13)/Datos!X13," - ")</f>
        <v>-0.29525862068965519</v>
      </c>
      <c r="H13" s="1003">
        <f>IF(ISNUMBER(((NºAsuntos!G13/NºAsuntos!E13)-Datos!BD13)/Datos!BD13),((NºAsuntos!G13/NºAsuntos!E13)-Datos!BD13)/Datos!BD13," - ")</f>
        <v>-0.24676684825484238</v>
      </c>
      <c r="I13" s="1003">
        <f>IF(ISNUMBER(((NºAsuntos!I13/NºAsuntos!G13)-Datos!BE13)/Datos!BE13),((NºAsuntos!I13/NºAsuntos!G13)-Datos!BE13)/Datos!BE13," - ")</f>
        <v>0.4364804433796361</v>
      </c>
      <c r="J13" s="1003">
        <f>IF(ISNUMBER((('Resol  Asuntos'!D13/NºAsuntos!G13)-Datos!BF13)/Datos!BF13),(('Resol  Asuntos'!D13/NºAsuntos!G13)-Datos!BF13)/Datos!BF13," - ")</f>
        <v>-0.69330138391730156</v>
      </c>
      <c r="K13" s="1003">
        <f>IF(ISNUMBER((((NºAsuntos!C13+NºAsuntos!E13)/NºAsuntos!G13)-Datos!BG13)/Datos!BG13),(((NºAsuntos!C13+NºAsuntos!E13)/NºAsuntos!G13)-Datos!BG13)/Datos!BG13," - ")</f>
        <v>0.36644678624807031</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-7.9119850187265917E-2</v>
      </c>
      <c r="C16" s="472">
        <f>IF(ISNUMBER(
   IF(D_I="SI",(Datos!J16-Datos!T16)/Datos!T16,(Datos!J16+Datos!AD16-(Datos!T16+Datos!AL16))/(Datos!T16+Datos!AL16))
     ),IF(D_I="SI",(Datos!J16-Datos!T16)/Datos!T16,(Datos!J16+Datos!AD16-(Datos!T16+Datos!AL16))/(Datos!T16+Datos!AL16))," - ")</f>
        <v>0.19158878504672897</v>
      </c>
      <c r="D16" s="472">
        <f>IF(ISNUMBER(
   IF(D_I="SI",(Datos!K16-Datos!U16)/Datos!U16,(Datos!K16+Datos!AE16-(Datos!U16+Datos!AM16))/(Datos!U16+Datos!AM16))
     ),IF(D_I="SI",(Datos!K16-Datos!U16)/Datos!U16,(Datos!K16+Datos!AE16-(Datos!U16+Datos!AM16))/(Datos!U16+Datos!AM16))," - ")</f>
        <v>-7.5607064017660042E-2</v>
      </c>
      <c r="E16" s="472">
        <f>IF(ISNUMBER(
   IF(D_I="SI",(Datos!L16-Datos!V16)/Datos!V16,(Datos!L16+Datos!AF16-(Datos!V16+Datos!AN16))/(Datos!V16+Datos!AN16))
     ),IF(D_I="SI",(Datos!L16-Datos!V16)/Datos!V16,(Datos!L16+Datos!AF16-(Datos!V16+Datos!AN16))/(Datos!V16+Datos!AN16))," - ")</f>
        <v>0.28436282693377851</v>
      </c>
      <c r="F16" s="472">
        <f>IF(ISNUMBER((Datos!M16-Datos!W16)/Datos!W16),(Datos!M16-Datos!W16)/Datos!W16," - ")</f>
        <v>3.3472803347280332E-2</v>
      </c>
      <c r="G16" s="473">
        <f>IF(ISNUMBER((Datos!N16-Datos!X16)/Datos!X16),(Datos!N16-Datos!X16)/Datos!X16," - ")</f>
        <v>-2.2745098039215685E-2</v>
      </c>
      <c r="H16" s="471">
        <f>IF(ISNUMBER(((NºAsuntos!G16/NºAsuntos!E16)-Datos!BD16)/Datos!BD16),((NºAsuntos!G16/NºAsuntos!E16)-Datos!BD16)/Datos!BD16," - ")</f>
        <v>-0.22423494784227155</v>
      </c>
      <c r="I16" s="472">
        <f>IF(ISNUMBER(((NºAsuntos!I16/NºAsuntos!G16)-Datos!BE16)/Datos!BE16),((NºAsuntos!I16/NºAsuntos!G16)-Datos!BE16)/Datos!BE16," - ")</f>
        <v>0.38941220442030255</v>
      </c>
      <c r="J16" s="477">
        <f>IF(ISNUMBER((('Resol  Asuntos'!D16/NºAsuntos!G16)-Datos!BF16)/Datos!BF16),(('Resol  Asuntos'!D16/NºAsuntos!G16)-Datos!BF16)/Datos!BF16," - ")</f>
        <v>0.11800162368075938</v>
      </c>
      <c r="K16" s="478">
        <f>IF(ISNUMBER((((NºAsuntos!C16+NºAsuntos!E16)/NºAsuntos!G16)-Datos!BG16)/Datos!BG16),(((NºAsuntos!C16+NºAsuntos!E16)/NºAsuntos!G16)-Datos!BG16)/Datos!BG16," - ")</f>
        <v>0.12649083066993499</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0.32786885245901637</v>
      </c>
      <c r="C17" s="472">
        <f>IF(ISNUMBER(
   IF(D_I="SI",(Datos!J17-Datos!T17)/Datos!T17,(Datos!J17+Datos!AD17-(Datos!T17+Datos!AL17))/(Datos!T17+Datos!AL17))
     ),IF(D_I="SI",(Datos!J17-Datos!T17)/Datos!T17,(Datos!J17+Datos!AD17-(Datos!T17+Datos!AL17))/(Datos!T17+Datos!AL17))," - ")</f>
        <v>0.31981981981981983</v>
      </c>
      <c r="D17" s="472">
        <f>IF(ISNUMBER(
   IF(D_I="SI",(Datos!K17-Datos!U17)/Datos!U17,(Datos!K17+Datos!AE17-(Datos!U17+Datos!AM17))/(Datos!U17+Datos!AM17))
     ),IF(D_I="SI",(Datos!K17-Datos!U17)/Datos!U17,(Datos!K17+Datos!AE17-(Datos!U17+Datos!AM17))/(Datos!U17+Datos!AM17))," - ")</f>
        <v>0.16143497757847533</v>
      </c>
      <c r="E17" s="472">
        <f>IF(ISNUMBER(
   IF(D_I="SI",(Datos!L17-Datos!V17)/Datos!V17,(Datos!L17+Datos!AF17-(Datos!V17+Datos!AN17))/(Datos!V17+Datos!AN17))
     ),IF(D_I="SI",(Datos!L17-Datos!V17)/Datos!V17,(Datos!L17+Datos!AF17-(Datos!V17+Datos!AN17))/(Datos!V17+Datos!AN17))," - ")</f>
        <v>0.859375</v>
      </c>
      <c r="F17" s="472">
        <f>IF(ISNUMBER((Datos!M17-Datos!W17)/Datos!W17),(Datos!M17-Datos!W17)/Datos!W17," - ")</f>
        <v>-3.7735849056603772E-2</v>
      </c>
      <c r="G17" s="473">
        <f>IF(ISNUMBER((Datos!N17-Datos!X17)/Datos!X17),(Datos!N17-Datos!X17)/Datos!X17," - ")</f>
        <v>0.1328125</v>
      </c>
      <c r="H17" s="471">
        <f>IF(ISNUMBER(((NºAsuntos!G17/NºAsuntos!E17)-Datos!BD17)/Datos!BD17),((NºAsuntos!G17/NºAsuntos!E17)-Datos!BD17)/Datos!BD17," - ")</f>
        <v>-0.12000489753439744</v>
      </c>
      <c r="I17" s="472">
        <f>IF(ISNUMBER(((NºAsuntos!I17/NºAsuntos!G17)-Datos!BE17)/Datos!BE17),((NºAsuntos!I17/NºAsuntos!G17)-Datos!BE17)/Datos!BE17," - ")</f>
        <v>0.60092905405405417</v>
      </c>
      <c r="J17" s="477">
        <f>IF(ISNUMBER((('Resol  Asuntos'!D17/NºAsuntos!G17)-Datos!BF17)/Datos!BF17),(('Resol  Asuntos'!D17/NºAsuntos!G17)-Datos!BF17)/Datos!BF17," - ")</f>
        <v>-0.17148685073213374</v>
      </c>
      <c r="K17" s="478">
        <f>IF(ISNUMBER((((NºAsuntos!C17+NºAsuntos!E17)/NºAsuntos!G17)-Datos!BG17)/Datos!BG17),(((NºAsuntos!C17+NºAsuntos!E17)/NºAsuntos!G17)-Datos!BG17)/Datos!BG17," - ")</f>
        <v>0.13786375977188689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-6.7819754210286756E-2</v>
      </c>
      <c r="C18" s="1001">
        <f>IF(ISNUMBER(
   IF(Criterios!B14="SI",(Datos!J18-Datos!T18)/Datos!T18,(Datos!J18+Datos!AD18-(Datos!T18+Datos!AL18))/(Datos!T18+Datos!AL18))
     ),IF(Criterios!B14="SI",(Datos!J18-Datos!T18)/Datos!T18,(Datos!J18+Datos!AD18-(Datos!T18+Datos!AL18))/(Datos!T18+Datos!AL18))," - ")</f>
        <v>0.20630816959669079</v>
      </c>
      <c r="D18" s="1001">
        <f>IF(ISNUMBER(
   IF(Criterios!B14="SI",(Datos!K18-Datos!U18)/Datos!U18,(Datos!K18+Datos!AE18-(Datos!U18+Datos!AM18))/(Datos!U18+Datos!AM18))
     ),IF(Criterios!B14="SI",(Datos!K18-Datos!U18)/Datos!U18,(Datos!K18+Datos!AE18-(Datos!U18+Datos!AM18))/(Datos!U18+Datos!AM18))," - ")</f>
        <v>-4.963144963144963E-2</v>
      </c>
      <c r="E18" s="1001">
        <f>IF(ISNUMBER(
   IF(Criterios!B14="SI",(Datos!L18-Datos!V18)/Datos!V18,(Datos!L18+Datos!AF18-(Datos!V18+Datos!AN18))/(Datos!V18+Datos!AN18))
     ),IF(Criterios!B14="SI",(Datos!L18-Datos!V18)/Datos!V18,(Datos!L18+Datos!AF18-(Datos!V18+Datos!AN18))/(Datos!V18+Datos!AN18))," - ")</f>
        <v>0.30413756045137025</v>
      </c>
      <c r="F18" s="1002">
        <f>IF(ISNUMBER((Datos!M18-Datos!W18)/Datos!W18),(Datos!M18-Datos!W18)/Datos!W18," - ")</f>
        <v>2.0547945205479451E-2</v>
      </c>
      <c r="G18" s="1003">
        <f>IF(ISNUMBER((Datos!N18-Datos!X18)/Datos!X18),(Datos!N18-Datos!X18)/Datos!X18," - ")</f>
        <v>-8.5531004989308629E-3</v>
      </c>
      <c r="H18" s="1003">
        <f>IF(ISNUMBER(((NºAsuntos!G18/NºAsuntos!E18)-Datos!BD18)/Datos!BD18),((NºAsuntos!G18/NºAsuntos!E18)-Datos!BD18)/Datos!BD18," - ")</f>
        <v>-0.21216769120755413</v>
      </c>
      <c r="I18" s="1003">
        <f>IF(ISNUMBER(((NºAsuntos!I18/NºAsuntos!G18)-Datos!BE18)/Datos!BE18),((NºAsuntos!I18/NºAsuntos!G18)-Datos!BE18)/Datos!BE18," - ")</f>
        <v>0.37224402043357713</v>
      </c>
      <c r="J18" s="1003">
        <f>IF(ISNUMBER((('Resol  Asuntos'!D18/NºAsuntos!G18)-Datos!BF18)/Datos!BF18),(('Resol  Asuntos'!D18/NºAsuntos!G18)-Datos!BF18)/Datos!BF18," - ")</f>
        <v>7.384439942768925E-2</v>
      </c>
      <c r="K18" s="1003">
        <f>IF(ISNUMBER((((NºAsuntos!C18+NºAsuntos!E18)/NºAsuntos!G18)-Datos!BG18)/Datos!BG18),(((NºAsuntos!C18+NºAsuntos!E18)/NºAsuntos!G18)-Datos!BG18)/Datos!BG18," - ")</f>
        <v>0.11590186140206096</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4.745145631067961E-2</v>
      </c>
      <c r="C19" s="948">
        <f>IF(ISNUMBER(
   IF(J_V="SI",(Datos!J19-Datos!T19)/Datos!T19,(Datos!J19+Datos!Z19-(Datos!T19+Datos!AH19))/(Datos!T19+Datos!AH19))
     ),IF(J_V="SI",(Datos!J19-Datos!T19)/Datos!T19,(Datos!J19+Datos!Z19-(Datos!T19+Datos!AH19))/(Datos!T19+Datos!AH19))," - ")</f>
        <v>0.12273838630806846</v>
      </c>
      <c r="D19" s="948">
        <f>IF(ISNUMBER(
   IF(J_V="SI",(Datos!K19-Datos!U19)/Datos!U19,(Datos!K19+Datos!AA19-(Datos!U19+Datos!AI19))/(Datos!U19+Datos!AI19))
     ),IF(J_V="SI",(Datos!K19-Datos!U19)/Datos!U19,(Datos!K19+Datos!AA19-(Datos!U19+Datos!AI19))/(Datos!U19+Datos!AI19))," - ")</f>
        <v>-0.13448115402512797</v>
      </c>
      <c r="E19" s="948">
        <f>IF(ISNUMBER(
   IF(J_V="SI",(Datos!L19-Datos!V19)/Datos!V19,(Datos!L19+Datos!AB19-(Datos!V19+Datos!AJ19))/(Datos!V19+Datos!AJ19))
     ),IF(J_V="SI",(Datos!L19-Datos!V19)/Datos!V19,(Datos!L19+Datos!AB19-(Datos!V19+Datos!AJ19))/(Datos!V19+Datos!AJ19))," - ")</f>
        <v>0.1737101047054371</v>
      </c>
      <c r="F19" s="949">
        <f>IF(ISNUMBER((Datos!M19-Datos!W19)/Datos!W19),(Datos!M19-Datos!W19)/Datos!W19," - ")</f>
        <v>-8.1277213352685049E-2</v>
      </c>
      <c r="G19" s="950">
        <f>IF(ISNUMBER((Datos!N19-Datos!X19)/Datos!X19),(Datos!N19-Datos!X19)/Datos!X19," - ")</f>
        <v>-0.15134168157423972</v>
      </c>
      <c r="H19" s="951">
        <f>IF(ISNUMBER((Tasas!B19-Datos!BD19)/Datos!BD19),(Tasas!B19-Datos!BD19)/Datos!BD19," - ")</f>
        <v>-0.22910015678631832</v>
      </c>
      <c r="I19" s="952">
        <f>IF(ISNUMBER((Tasas!C19-Datos!BE19)/Datos!BE19),(Tasas!C19-Datos!BE19)/Datos!BE19," - ")</f>
        <v>0.35607688979138946</v>
      </c>
      <c r="J19" s="953">
        <f>IF(ISNUMBER((Tasas!D19-Datos!BF19)/Datos!BF19),(Tasas!D19-Datos!BF19)/Datos!BF19," - ")</f>
        <v>-0.56363172684579255</v>
      </c>
      <c r="K19" s="953">
        <f>IF(ISNUMBER((Tasas!E19-Datos!BG19)/Datos!BG19),(Tasas!E19-Datos!BG19)/Datos!BG19," - ")</f>
        <v>0.23905445238032946</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hC1I2Lfb7UPop5SmZclJAGtvd4A3mQfRLMUh36Dy908gTIDNIamNOLABf07tuDPaoHclncgrEG4DnYTnYyXRmA==" saltValue="LZZK2sfDsoxzSxwI52Pb+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CANARIAS</v>
      </c>
    </row>
    <row r="3" spans="1:7" ht="19.5">
      <c r="A3" s="452" t="s">
        <v>12</v>
      </c>
      <c r="B3" s="402" t="str">
        <f>Criterios!A10 &amp;"  "&amp;Criterios!B10</f>
        <v>Provincias  LAS PALMAS</v>
      </c>
    </row>
    <row r="4" spans="1:7" ht="11.25" customHeight="1" thickBot="1">
      <c r="B4" s="402" t="str">
        <f>Criterios!A11 &amp;"  "&amp;Criterios!B11</f>
        <v>Resumenes por Partidos Judiciales  PUERTO DEL ROSARIO</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0.75</v>
      </c>
      <c r="C10" s="459">
        <f>IF(ISNUMBER(NºAsuntos!I10/NºAsuntos!G10),NºAsuntos!I10/NºAsuntos!G10," - ")</f>
        <v>1.9444444444444444</v>
      </c>
      <c r="D10" s="460">
        <f>IF(ISNUMBER('Resol  Asuntos'!D10/NºAsuntos!G10),'Resol  Asuntos'!D10/NºAsuntos!G10," - ")</f>
        <v>0.33333333333333331</v>
      </c>
      <c r="E10" s="461">
        <f>IF(ISNUMBER((NºAsuntos!C10+NºAsuntos!E10)/NºAsuntos!G10),(NºAsuntos!C10+NºAsuntos!E10)/NºAsuntos!G10," - ")</f>
        <v>2.9444444444444446</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0.79105145413870248</v>
      </c>
      <c r="C12" s="459">
        <f>IF(ISNUMBER(NºAsuntos!I12/NºAsuntos!G12),NºAsuntos!I12/NºAsuntos!G12," - ")</f>
        <v>3.8699095022624435</v>
      </c>
      <c r="D12" s="460">
        <f>IF(ISNUMBER('Resol  Asuntos'!D12/NºAsuntos!G12),'Resol  Asuntos'!D12/NºAsuntos!G12," - ")</f>
        <v>0.18608597285067874</v>
      </c>
      <c r="E12" s="461">
        <f>IF(ISNUMBER((NºAsuntos!C12+NºAsuntos!E12)/NºAsuntos!G12),(NºAsuntos!C12+NºAsuntos!E12)/NºAsuntos!G12," - ")</f>
        <v>4.9711538461538458</v>
      </c>
      <c r="G12" s="479"/>
    </row>
    <row r="13" spans="1:7" ht="14.25" thickTop="1" thickBot="1">
      <c r="A13" s="994" t="str">
        <f>Datos!A13</f>
        <v>TOTAL</v>
      </c>
      <c r="B13" s="1004">
        <f>IF(ISNUMBER(NºAsuntos!G13/NºAsuntos!E13),NºAsuntos!G13/NºAsuntos!E13," - ")</f>
        <v>0.79061531651173089</v>
      </c>
      <c r="C13" s="1005">
        <f>IF(ISNUMBER(NºAsuntos!I13/NºAsuntos!G13),NºAsuntos!I13/NºAsuntos!G13," - ")</f>
        <v>3.8505039193729003</v>
      </c>
      <c r="D13" s="1006">
        <f>IF(ISNUMBER('Resol  Asuntos'!D13/NºAsuntos!G13),'Resol  Asuntos'!D13/NºAsuntos!G13," - ")</f>
        <v>0.18756998880179171</v>
      </c>
      <c r="E13" s="1007">
        <f>IF(ISNUMBER((NºAsuntos!C13+NºAsuntos!E13)/NºAsuntos!G13),(NºAsuntos!C13+NºAsuntos!E13)/NºAsuntos!G13," - ")</f>
        <v>4.9507278835386339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0.82107843137254899</v>
      </c>
      <c r="C16" s="459">
        <f>IF(ISNUMBER(NºAsuntos!I16/NºAsuntos!G16),NºAsuntos!I16/NºAsuntos!G16," - ")</f>
        <v>1.3779104477611941</v>
      </c>
      <c r="D16" s="460">
        <f>IF(ISNUMBER('Resol  Asuntos'!D16/NºAsuntos!G16),'Resol  Asuntos'!D16/NºAsuntos!G16," - ")</f>
        <v>0.14746268656716419</v>
      </c>
      <c r="E16" s="461">
        <f>IF(ISNUMBER((NºAsuntos!C16+NºAsuntos!E16)/NºAsuntos!G16),(NºAsuntos!C16+NºAsuntos!E16)/NºAsuntos!G16," - ")</f>
        <v>2.3922388059701492</v>
      </c>
      <c r="G16" s="479"/>
    </row>
    <row r="17" spans="1:7" ht="13.5" thickBot="1">
      <c r="A17" s="413" t="str">
        <f>Datos!A17</f>
        <v>Jdos. Violencia contra la mujer</v>
      </c>
      <c r="B17" s="458">
        <f>IF(ISNUMBER(NºAsuntos!G17/NºAsuntos!E17),NºAsuntos!G17/NºAsuntos!E17," - ")</f>
        <v>0.88395904436860073</v>
      </c>
      <c r="C17" s="459">
        <f>IF(ISNUMBER(NºAsuntos!I17/NºAsuntos!G17),NºAsuntos!I17/NºAsuntos!G17," - ")</f>
        <v>0.45945945945945948</v>
      </c>
      <c r="D17" s="460">
        <f>IF(ISNUMBER('Resol  Asuntos'!D17/NºAsuntos!G17),'Resol  Asuntos'!D17/NºAsuntos!G17," - ")</f>
        <v>0.19691119691119691</v>
      </c>
      <c r="E17" s="461">
        <f>IF(ISNUMBER((NºAsuntos!C17+NºAsuntos!E17)/NºAsuntos!G17),(NºAsuntos!C17+NºAsuntos!E17)/NºAsuntos!G17," - ")</f>
        <v>1.444015444015444</v>
      </c>
      <c r="G17" s="479"/>
    </row>
    <row r="18" spans="1:7" ht="14.25" thickTop="1" thickBot="1">
      <c r="A18" s="994" t="str">
        <f>Datos!A18</f>
        <v>TOTAL</v>
      </c>
      <c r="B18" s="1004">
        <f>IF(ISNUMBER(NºAsuntos!G18/NºAsuntos!E18),NºAsuntos!G18/NºAsuntos!E18," - ")</f>
        <v>0.82897556793827687</v>
      </c>
      <c r="C18" s="1005">
        <f>IF(ISNUMBER(NºAsuntos!I18/NºAsuntos!G18),NºAsuntos!I18/NºAsuntos!G18," - ")</f>
        <v>1.2549120992761116</v>
      </c>
      <c r="D18" s="1008">
        <f>IF(ISNUMBER('Resol  Asuntos'!D18/NºAsuntos!G18),'Resol  Asuntos'!D18/NºAsuntos!G18," - ")</f>
        <v>0.15408479834539815</v>
      </c>
      <c r="E18" s="1007">
        <f>IF(ISNUMBER((NºAsuntos!C18+NºAsuntos!E18)/NºAsuntos!G18),(NºAsuntos!C18+NºAsuntos!E18)/NºAsuntos!G18," - ")</f>
        <v>2.2652533609100312</v>
      </c>
      <c r="G18" s="479"/>
    </row>
    <row r="19" spans="1:7" ht="15.75" customHeight="1" thickTop="1" thickBot="1">
      <c r="A19" s="939" t="str">
        <f>Datos!A19</f>
        <v>TOTAL JURISDICCIONES</v>
      </c>
      <c r="B19" s="954">
        <f>IF(ISNUMBER(NºAsuntos!G19/NºAsuntos!E19),NºAsuntos!G19/NºAsuntos!E19," - ")</f>
        <v>0.81010452961672474</v>
      </c>
      <c r="C19" s="955">
        <f>IF(ISNUMBER(NºAsuntos!I19/NºAsuntos!G19),NºAsuntos!I19/NºAsuntos!G19," - ")</f>
        <v>2.5010752688172042</v>
      </c>
      <c r="D19" s="956">
        <f>IF(ISNUMBER('Resol  Asuntos'!D19/NºAsuntos!G19),'Resol  Asuntos'!D19/NºAsuntos!G19," - ")</f>
        <v>0.17016129032258065</v>
      </c>
      <c r="E19" s="957">
        <f>IF(ISNUMBER((NºAsuntos!C19+NºAsuntos!E19)/NºAsuntos!G19),(NºAsuntos!C19+NºAsuntos!E19)/NºAsuntos!G19," - ")</f>
        <v>3.5545698924731184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cN10ybGbKuzSZd9LS88uLm7O3jG3C9olxrPPAkmzH6956MBc34F89qWC5irS9sV312p/WS8BVg1+QNt1Uwg+Gw==" saltValue="IkEFEApGrFwVl/U/ATuxt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CANARIAS</v>
      </c>
      <c r="G2" s="339"/>
      <c r="H2" s="338"/>
      <c r="I2" s="338"/>
      <c r="J2" s="338"/>
      <c r="K2" s="338"/>
      <c r="L2" s="338" t="str">
        <f>Criterios!A10 &amp;"  "&amp;Criterios!B10</f>
        <v>Provincias  LAS PALMAS</v>
      </c>
      <c r="N2" s="338" t="str">
        <f>Criterios!A11 &amp;"  "&amp;Criterios!B11</f>
        <v>Resumenes por Partidos Judiciales  PUERTO DEL ROSARIO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29</v>
      </c>
      <c r="G10" s="342">
        <f>IF(ISNUMBER(Datos!I10),Datos!I10," - ")</f>
        <v>29</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18</v>
      </c>
      <c r="X10" s="230">
        <f>IF(ISNUMBER(Datos!Q10),Datos!Q10," - ")</f>
        <v>4</v>
      </c>
      <c r="Y10" s="343">
        <f t="shared" ref="Y10:Y12" si="0">SUM(W10:X10)</f>
        <v>22</v>
      </c>
      <c r="Z10" s="344" t="str">
        <f>IF(ISNUMBER(Datos!CC10),Datos!CC10," - ")</f>
        <v xml:space="preserve"> - </v>
      </c>
      <c r="AA10" s="341">
        <f>IF(ISNUMBER(Datos!L10),Datos!L10,"-")</f>
        <v>35</v>
      </c>
      <c r="AB10" s="343">
        <f>IF(ISNUMBER(Datos!R10),Datos!R10," - ")</f>
        <v>20</v>
      </c>
      <c r="AC10" s="343">
        <f t="shared" ref="AC10:AC12" si="1">IF(ISNUMBER(AA10+AB10),AA10+AB10," - ")</f>
        <v>55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6</v>
      </c>
      <c r="AJ10" s="235" t="str">
        <f>IF(ISNUMBER(Datos!BW10),Datos!BW10," - ")</f>
        <v xml:space="preserve"> - </v>
      </c>
      <c r="AK10" s="236" t="str">
        <f>IF(ISNUMBER(Datos!BX10),Datos!BX10," - ")</f>
        <v xml:space="preserve"> - </v>
      </c>
      <c r="AL10" s="247">
        <f>IF(ISNUMBER(NºAsuntos!G10/NºAsuntos!E10),NºAsuntos!G10/NºAsuntos!E10," - ")</f>
        <v>0.75</v>
      </c>
      <c r="AM10" s="264">
        <f>IF(ISNUMBER(((NºAsuntos!I10/NºAsuntos!G10)*11)/factor_trimestre),((NºAsuntos!I10/NºAsuntos!G10)*11)/factor_trimestre," - ")</f>
        <v>3.8888888888888888</v>
      </c>
      <c r="AN10" s="248">
        <f>IF(ISNUMBER('Resol  Asuntos'!D10/NºAsuntos!G10),'Resol  Asuntos'!D10/NºAsuntos!G10," - ")</f>
        <v>0.33333333333333331</v>
      </c>
      <c r="AO10" s="249">
        <f>IF(ISNUMBER((NºAsuntos!C10+NºAsuntos!E10)/NºAsuntos!G10),(NºAsuntos!C10+NºAsuntos!E10)/NºAsuntos!G10," - ")</f>
        <v>2.9444444444444446</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7</v>
      </c>
      <c r="B12" s="279" t="s">
        <v>249</v>
      </c>
      <c r="C12" s="7" t="str">
        <f>Datos!A12</f>
        <v xml:space="preserve">Jdos. 1ª Instª. e Instr.                        </v>
      </c>
      <c r="D12" s="7"/>
      <c r="E12" s="1201">
        <f>IF(ISNUMBER(Datos!AQ12),Datos!AQ12," - ")</f>
        <v>7</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262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216</v>
      </c>
      <c r="Y12" s="343">
        <f t="shared" si="0"/>
        <v>216</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6109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329</v>
      </c>
      <c r="AJ12" s="233" t="str">
        <f>IF(ISNUMBER(Datos!BW12),Datos!BW12," - ")</f>
        <v xml:space="preserve"> - </v>
      </c>
      <c r="AK12" s="232" t="str">
        <f>IF(ISNUMBER(Datos!BX12),Datos!BX12," - ")</f>
        <v xml:space="preserve"> - </v>
      </c>
      <c r="AL12" s="247">
        <f>IF(ISNUMBER(NºAsuntos!G12/NºAsuntos!E12),NºAsuntos!G12/NºAsuntos!E12," - ")</f>
        <v>0.79105145413870248</v>
      </c>
      <c r="AM12" s="264">
        <f>IF(ISNUMBER(((NºAsuntos!I12/NºAsuntos!G12)*11)/factor_trimestre),((NºAsuntos!I12/NºAsuntos!G12)*11)/factor_trimestre," - ")</f>
        <v>7.7398190045248869</v>
      </c>
      <c r="AN12" s="248">
        <f>IF(ISNUMBER('Resol  Asuntos'!D12/NºAsuntos!G12),'Resol  Asuntos'!D12/NºAsuntos!G12," - ")</f>
        <v>0.18608597285067874</v>
      </c>
      <c r="AO12" s="249">
        <f>IF(ISNUMBER((NºAsuntos!C12+NºAsuntos!E12)/NºAsuntos!G12),(NºAsuntos!C12+NºAsuntos!E12)/NºAsuntos!G12," - ")</f>
        <v>4.9711538461538458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7</v>
      </c>
      <c r="F13" s="1011">
        <f t="shared" si="3"/>
        <v>29</v>
      </c>
      <c r="G13" s="1012">
        <f t="shared" si="3"/>
        <v>29</v>
      </c>
      <c r="H13" s="1011">
        <f t="shared" si="3"/>
        <v>0</v>
      </c>
      <c r="I13" s="1013">
        <f t="shared" si="3"/>
        <v>0</v>
      </c>
      <c r="J13" s="1013">
        <f t="shared" si="3"/>
        <v>0</v>
      </c>
      <c r="K13" s="1013">
        <f t="shared" si="3"/>
        <v>0</v>
      </c>
      <c r="L13" s="1013">
        <f t="shared" si="3"/>
        <v>263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18</v>
      </c>
      <c r="X13" s="1013">
        <f t="shared" si="4"/>
        <v>220</v>
      </c>
      <c r="Y13" s="1014">
        <f t="shared" si="4"/>
        <v>238</v>
      </c>
      <c r="Z13" s="1014">
        <f t="shared" si="4"/>
        <v>0</v>
      </c>
      <c r="AA13" s="1014">
        <f t="shared" si="4"/>
        <v>35</v>
      </c>
      <c r="AB13" s="1014">
        <f t="shared" si="4"/>
        <v>6129</v>
      </c>
      <c r="AC13" s="1014">
        <f t="shared" si="4"/>
        <v>55</v>
      </c>
      <c r="AD13" s="1014">
        <f t="shared" si="4"/>
        <v>0</v>
      </c>
      <c r="AE13" s="1018">
        <f t="shared" si="4"/>
        <v>0</v>
      </c>
      <c r="AF13" s="1011">
        <f t="shared" si="4"/>
        <v>0</v>
      </c>
      <c r="AG13" s="1019">
        <f t="shared" si="4"/>
        <v>0</v>
      </c>
      <c r="AH13" s="1016">
        <f t="shared" si="4"/>
        <v>0</v>
      </c>
      <c r="AI13" s="1011">
        <f t="shared" si="4"/>
        <v>335</v>
      </c>
      <c r="AJ13" s="1013">
        <f t="shared" si="4"/>
        <v>0</v>
      </c>
      <c r="AK13" s="1016">
        <f>SUBTOTAL(9,AK9:AK12)</f>
        <v>0</v>
      </c>
      <c r="AL13" s="1020">
        <f>IF(ISNUMBER(NºAsuntos!G13/NºAsuntos!E13),NºAsuntos!G13/NºAsuntos!E13," - ")</f>
        <v>0.79061531651173089</v>
      </c>
      <c r="AM13" s="1020">
        <f>IF(ISNUMBER(((NºAsuntos!I13/NºAsuntos!G13)*11)/factor_trimestre),((NºAsuntos!I13/NºAsuntos!G13)*11)/factor_trimestre," - ")</f>
        <v>7.7010078387458005</v>
      </c>
      <c r="AN13" s="1021">
        <f>IF(ISNUMBER('Resol  Asuntos'!D13/NºAsuntos!G13),'Resol  Asuntos'!D13/NºAsuntos!G13," - ")</f>
        <v>0.18756998880179171</v>
      </c>
      <c r="AO13" s="1022">
        <f>IF(ISNUMBER((NºAsuntos!C13+NºAsuntos!E13)/NºAsuntos!G13),(NºAsuntos!C13+NºAsuntos!E13)/NºAsuntos!G13," - ")</f>
        <v>4.9507278835386339</v>
      </c>
      <c r="AP13" s="1023" t="str">
        <f t="shared" si="2"/>
        <v xml:space="preserve"> - </v>
      </c>
      <c r="AQ13" s="1023">
        <f>IF(ISNUMBER((H13-W13+K13)/(F13)),(H13-W13+K13)/(F13)," - ")</f>
        <v>-0.62068965517241381</v>
      </c>
      <c r="AR13" s="1024">
        <f>IF(ISNUMBER((Datos!P13-Datos!Q13)/(Datos!R13-Datos!P13+Datos!Q13)),(Datos!P13-Datos!Q13)/(Datos!R13-Datos!P13+Datos!Q13)," - ")</f>
        <v>7.0653959907985538E-3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7</v>
      </c>
      <c r="B16" s="279" t="s">
        <v>400</v>
      </c>
      <c r="C16" s="164" t="str">
        <f>Datos!A16</f>
        <v xml:space="preserve">Jdos. 1ª Instª. e Instr.                        </v>
      </c>
      <c r="D16" s="164"/>
      <c r="E16" s="1201">
        <f>IF(ISNUMBER(Datos!AQ16),Datos!AQ16," - ")</f>
        <v>7</v>
      </c>
      <c r="F16" s="229">
        <f>IF(ISNUMBER(AA16+W16-Datos!J16-K16),AA16+W16-Datos!J16-K16," - ")</f>
        <v>1943</v>
      </c>
      <c r="G16" s="342">
        <f>IF(ISNUMBER(IF(D_I="SI",Datos!I16,Datos!I16+Datos!AC16)),IF(D_I="SI",Datos!I16,Datos!I16+Datos!AC16)," - ")</f>
        <v>1967</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51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1675</v>
      </c>
      <c r="X16" s="230">
        <f>IF(ISNUMBER(Datos!Q16),Datos!Q16," - ")</f>
        <v>43</v>
      </c>
      <c r="Y16" s="343">
        <f t="shared" ref="Y16:Y17" si="7">SUM(W16:X16)</f>
        <v>1718</v>
      </c>
      <c r="Z16" s="344" t="str">
        <f>IF(ISNUMBER(Datos!CC16),Datos!CC16," - ")</f>
        <v xml:space="preserve"> - </v>
      </c>
      <c r="AA16" s="341">
        <f>IF(ISNUMBER(IF(D_I="SI",Datos!L16,Datos!L16+Datos!AF16)),IF(D_I="SI",Datos!L16,Datos!L16+Datos!AF16)," - ")</f>
        <v>2308</v>
      </c>
      <c r="AB16" s="343">
        <f>IF(ISNUMBER(Datos!R16),Datos!R16," - ")</f>
        <v>438</v>
      </c>
      <c r="AC16" s="343">
        <f t="shared" si="6"/>
        <v>2746</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247</v>
      </c>
      <c r="AJ16" s="235" t="str">
        <f>IF(ISNUMBER(Datos!BW16),Datos!BW16," - ")</f>
        <v xml:space="preserve"> - </v>
      </c>
      <c r="AK16" s="236" t="str">
        <f>IF(ISNUMBER(Datos!BX16),Datos!BX16," - ")</f>
        <v xml:space="preserve"> - </v>
      </c>
      <c r="AL16" s="247">
        <f>IF(ISNUMBER(NºAsuntos!G16/NºAsuntos!E16),NºAsuntos!G16/NºAsuntos!E16," - ")</f>
        <v>0.82107843137254899</v>
      </c>
      <c r="AM16" s="264">
        <f>IF(ISNUMBER(((NºAsuntos!I16/NºAsuntos!G16)*11)/factor_trimestre),((NºAsuntos!I16/NºAsuntos!G16)*11)/factor_trimestre," - ")</f>
        <v>2.7558208955223882</v>
      </c>
      <c r="AN16" s="248">
        <f>IF(ISNUMBER('Resol  Asuntos'!D16/NºAsuntos!G16),'Resol  Asuntos'!D16/NºAsuntos!G16," - ")</f>
        <v>0.14746268656716419</v>
      </c>
      <c r="AO16" s="249">
        <f>IF(ISNUMBER((NºAsuntos!C16+NºAsuntos!E16)/NºAsuntos!G16),(NºAsuntos!C16+NºAsuntos!E16)/NºAsuntos!G16," - ")</f>
        <v>2.3922388059701492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81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6</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259</v>
      </c>
      <c r="X17" s="230">
        <f>IF(ISNUMBER(Datos!Q17),Datos!Q17," - ")</f>
        <v>6</v>
      </c>
      <c r="Y17" s="343">
        <f t="shared" si="7"/>
        <v>265</v>
      </c>
      <c r="Z17" s="344" t="str">
        <f>IF(ISNUMBER(Datos!CC17),Datos!CC17," - ")</f>
        <v xml:space="preserve"> - </v>
      </c>
      <c r="AA17" s="341">
        <f>IF(ISNUMBER(Datos!L17),Datos!L17,"-")</f>
        <v>119</v>
      </c>
      <c r="AB17" s="343">
        <f>IF(ISNUMBER(Datos!R17),Datos!R17," - ")</f>
        <v>24</v>
      </c>
      <c r="AC17" s="343">
        <f t="shared" si="6"/>
        <v>143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51</v>
      </c>
      <c r="AJ17" s="235" t="str">
        <f>IF(ISNUMBER(Datos!BW17),Datos!BW17," - ")</f>
        <v xml:space="preserve"> - </v>
      </c>
      <c r="AK17" s="236" t="str">
        <f>IF(ISNUMBER(Datos!BX17),Datos!BX17," - ")</f>
        <v xml:space="preserve"> - </v>
      </c>
      <c r="AL17" s="247">
        <f>IF(ISNUMBER(NºAsuntos!G17/NºAsuntos!E17),NºAsuntos!G17/NºAsuntos!E17," - ")</f>
        <v>0.88395904436860073</v>
      </c>
      <c r="AM17" s="264">
        <f>IF(ISNUMBER(((NºAsuntos!I17/NºAsuntos!G17)*11)/factor_trimestre),((NºAsuntos!I17/NºAsuntos!G17)*11)/factor_trimestre," - ")</f>
        <v>0.91891891891891897</v>
      </c>
      <c r="AN17" s="248">
        <f>IF(ISNUMBER('Resol  Asuntos'!D17/NºAsuntos!G17),'Resol  Asuntos'!D17/NºAsuntos!G17," - ")</f>
        <v>0.19691119691119691</v>
      </c>
      <c r="AO17" s="249">
        <f>IF(ISNUMBER((NºAsuntos!C17+NºAsuntos!E17)/NºAsuntos!G17),(NºAsuntos!C17+NºAsuntos!E17)/NºAsuntos!G17," - ")</f>
        <v>1.444015444015444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7</v>
      </c>
      <c r="F18" s="1011">
        <f>SUBTOTAL(9,F14:F17)</f>
        <v>1943</v>
      </c>
      <c r="G18" s="1012">
        <f>SUBTOTAL(9,G15:G17)</f>
        <v>2048</v>
      </c>
      <c r="H18" s="1011">
        <f t="shared" ref="H18:O18" si="10">SUBTOTAL(9,H14:H17)</f>
        <v>0</v>
      </c>
      <c r="I18" s="1013">
        <f t="shared" si="10"/>
        <v>0</v>
      </c>
      <c r="J18" s="1013">
        <f t="shared" si="10"/>
        <v>0</v>
      </c>
      <c r="K18" s="1013">
        <f t="shared" si="10"/>
        <v>0</v>
      </c>
      <c r="L18" s="1013">
        <f t="shared" si="10"/>
        <v>57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1934</v>
      </c>
      <c r="X18" s="1013">
        <f t="shared" si="11"/>
        <v>49</v>
      </c>
      <c r="Y18" s="1014">
        <f t="shared" si="11"/>
        <v>1983</v>
      </c>
      <c r="Z18" s="1014">
        <f t="shared" si="11"/>
        <v>0</v>
      </c>
      <c r="AA18" s="1014">
        <f t="shared" si="11"/>
        <v>2427</v>
      </c>
      <c r="AB18" s="1014">
        <f t="shared" si="11"/>
        <v>462</v>
      </c>
      <c r="AC18" s="1014">
        <f t="shared" si="11"/>
        <v>2889</v>
      </c>
      <c r="AD18" s="1014">
        <f t="shared" si="11"/>
        <v>0</v>
      </c>
      <c r="AE18" s="1018">
        <f t="shared" si="11"/>
        <v>0</v>
      </c>
      <c r="AF18" s="1011">
        <f t="shared" si="11"/>
        <v>0</v>
      </c>
      <c r="AG18" s="1019">
        <f t="shared" si="11"/>
        <v>0</v>
      </c>
      <c r="AH18" s="1016">
        <f t="shared" si="11"/>
        <v>0</v>
      </c>
      <c r="AI18" s="1011">
        <f t="shared" si="11"/>
        <v>298</v>
      </c>
      <c r="AJ18" s="1013">
        <f t="shared" si="11"/>
        <v>0</v>
      </c>
      <c r="AK18" s="1016">
        <f t="shared" si="11"/>
        <v>0</v>
      </c>
      <c r="AL18" s="1020">
        <f>IF(ISNUMBER(NºAsuntos!G18/NºAsuntos!E18),NºAsuntos!G18/NºAsuntos!E18," - ")</f>
        <v>0.82897556793827687</v>
      </c>
      <c r="AM18" s="1020">
        <f>IF(ISNUMBER(((NºAsuntos!I18/NºAsuntos!G18)*11)/factor_trimestre),((NºAsuntos!I18/NºAsuntos!G18)*11)/factor_trimestre," - ")</f>
        <v>2.5098241985522232</v>
      </c>
      <c r="AN18" s="1021">
        <f>IF(ISNUMBER('Resol  Asuntos'!D18/NºAsuntos!G18),'Resol  Asuntos'!D18/NºAsuntos!G18," - ")</f>
        <v>0.15408479834539815</v>
      </c>
      <c r="AO18" s="1022">
        <f>IF(ISNUMBER((NºAsuntos!C18+NºAsuntos!E18)/NºAsuntos!G18),(NºAsuntos!C18+NºAsuntos!E18)/NºAsuntos!G18," - ")</f>
        <v>2.2652533609100312</v>
      </c>
      <c r="AP18" s="1023" t="str">
        <f t="shared" si="2"/>
        <v xml:space="preserve"> - </v>
      </c>
      <c r="AQ18" s="1023">
        <f>IF(ISNUMBER((H18-W18+K18)/(F18)),(H18-W18+K18)/(F18)," - ")</f>
        <v>-0.99536798764796708</v>
      </c>
      <c r="AR18" s="1024">
        <f>IF(ISNUMBER((Datos!P18-Datos!Q18)/(Datos!R18-Datos!P18+Datos!Q18)),(Datos!P18-Datos!Q18)/(Datos!R18-Datos!P18+Datos!Q18)," - ")</f>
        <v>1.7621145374449341E-2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14</v>
      </c>
      <c r="F19" s="966">
        <f t="shared" si="13"/>
        <v>1972</v>
      </c>
      <c r="G19" s="967">
        <f t="shared" si="13"/>
        <v>2077</v>
      </c>
      <c r="H19" s="966">
        <f t="shared" si="13"/>
        <v>0</v>
      </c>
      <c r="I19" s="968">
        <f t="shared" si="13"/>
        <v>0</v>
      </c>
      <c r="J19" s="968">
        <f t="shared" si="13"/>
        <v>0</v>
      </c>
      <c r="K19" s="1027">
        <f t="shared" si="13"/>
        <v>0</v>
      </c>
      <c r="L19" s="968">
        <f t="shared" si="13"/>
        <v>320</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1952</v>
      </c>
      <c r="X19" s="967">
        <f t="shared" si="14"/>
        <v>269</v>
      </c>
      <c r="Y19" s="974">
        <f t="shared" si="14"/>
        <v>2221</v>
      </c>
      <c r="Z19" s="974">
        <f t="shared" si="14"/>
        <v>0</v>
      </c>
      <c r="AA19" s="974">
        <f t="shared" si="14"/>
        <v>2462</v>
      </c>
      <c r="AB19" s="974">
        <f t="shared" si="14"/>
        <v>6591</v>
      </c>
      <c r="AC19" s="974">
        <f t="shared" si="14"/>
        <v>2944</v>
      </c>
      <c r="AD19" s="974">
        <f t="shared" si="14"/>
        <v>0</v>
      </c>
      <c r="AE19" s="976">
        <f t="shared" si="14"/>
        <v>0</v>
      </c>
      <c r="AF19" s="977">
        <f t="shared" si="14"/>
        <v>0</v>
      </c>
      <c r="AG19" s="978">
        <f t="shared" si="14"/>
        <v>0</v>
      </c>
      <c r="AH19" s="976">
        <f t="shared" si="14"/>
        <v>0</v>
      </c>
      <c r="AI19" s="966">
        <f t="shared" si="14"/>
        <v>633</v>
      </c>
      <c r="AJ19" s="966">
        <f t="shared" si="14"/>
        <v>0</v>
      </c>
      <c r="AK19" s="976">
        <f t="shared" si="14"/>
        <v>0</v>
      </c>
      <c r="AL19" s="1030">
        <f>IF(ISNUMBER(NºAsuntos!G19/NºAsuntos!E19),NºAsuntos!G19/NºAsuntos!E19," - ")</f>
        <v>0.81010452961672474</v>
      </c>
      <c r="AM19" s="1031">
        <f>IF(ISNUMBER(((NºAsuntos!I19/NºAsuntos!G19)*11)/factor_trimestre),((NºAsuntos!I19/NºAsuntos!G19)*11)/factor_trimestre," - ")</f>
        <v>5.0021505376344084</v>
      </c>
      <c r="AN19" s="1031">
        <f>IF(ISNUMBER('Resol  Asuntos'!D19/NºAsuntos!G19),'Resol  Asuntos'!D19/NºAsuntos!G19," - ")</f>
        <v>0.17016129032258065</v>
      </c>
      <c r="AO19" s="1032">
        <f>IF(ISNUMBER((NºAsuntos!C19+NºAsuntos!E19)/NºAsuntos!G19),(NºAsuntos!C19+NºAsuntos!E19)/NºAsuntos!G19," - ")</f>
        <v>3.5545698924731184</v>
      </c>
      <c r="AP19" s="1033" t="str">
        <f t="shared" si="2"/>
        <v xml:space="preserve"> - </v>
      </c>
      <c r="AQ19" s="1034">
        <f>IF(OR(ISNUMBER(FIND("01",Criterios!A8,1)),ISNUMBER(FIND("02",Criterios!A8,1)),ISNUMBER(FIND("03",Criterios!A8,1)),ISNUMBER(FIND("04",Criterios!A8,1))),(I19-W19+K19)/(F19-K19),(H19-W19+K19)/(F19-K19))</f>
        <v>-0.98985801217038538</v>
      </c>
      <c r="AR19" s="1035">
        <f>IF(ISNUMBER((Datos!P19-Datos!Q19)/(Datos!R19-Datos!P19+Datos!Q19)),(Datos!P19-Datos!Q19)/(Datos!R19-Datos!P19+Datos!Q19)," - ")</f>
        <v>7.7981651376146793E-3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830.8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3.6893239368631092</v>
      </c>
      <c r="F21" s="256">
        <f>IF(ISNUMBER(STDEV(F8:F18)),STDEV(F8:F18),"-")</f>
        <v>1105.0484152289437</v>
      </c>
      <c r="G21" s="257">
        <f>IF(ISNUMBER(STDEV(G8:G18)),STDEV(G8:G18),"-")</f>
        <v>1074.7665793092006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944.12218488922292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145.45789768864392</v>
      </c>
      <c r="AJ21" s="256">
        <f t="shared" si="18"/>
        <v>0</v>
      </c>
      <c r="AK21" s="258">
        <f t="shared" si="18"/>
        <v>0</v>
      </c>
      <c r="AL21" s="253">
        <f t="shared" si="18"/>
        <v>4.5347945252754755E-2</v>
      </c>
      <c r="AM21" s="254">
        <f t="shared" si="18"/>
        <v>2.8487029758031017</v>
      </c>
      <c r="AN21" s="254">
        <f t="shared" si="18"/>
        <v>6.7821607347563442E-2</v>
      </c>
      <c r="AO21" s="255">
        <f t="shared" si="18"/>
        <v>1.4743181727441745</v>
      </c>
      <c r="AP21" s="295" t="str">
        <f t="shared" si="18"/>
        <v>-</v>
      </c>
      <c r="AQ21" s="296">
        <f t="shared" si="18"/>
        <v>0.2649375896571311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JFO63qYNzjSa2i0ll50UmdsOQO7WulCKUn+Csh24nM8OUQxmftbSfnF3+rxM4Gca1V45/S+yvojN3MnSad+FPg==" saltValue="wH/VyPKKIGlpIpg/mZSoZ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CANARIAS</v>
      </c>
      <c r="E2" s="267"/>
    </row>
    <row r="3" spans="2:20" ht="17.25" customHeight="1">
      <c r="C3" s="271"/>
      <c r="D3" s="266" t="str">
        <f>Criterios!A10 &amp;"  "&amp;Criterios!B10</f>
        <v>Provincias  LAS PALMAS</v>
      </c>
      <c r="E3" s="267"/>
    </row>
    <row r="4" spans="2:20" ht="17.25" customHeight="1" thickBot="1">
      <c r="D4" s="266" t="str">
        <f>Criterios!A11 &amp;"  "&amp;Criterios!B11</f>
        <v>Resumenes por Partidos Judiciales  PUERTO DEL ROSARIO</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-0.35555555555555557</v>
      </c>
      <c r="E10" s="357">
        <f>IF(ISNUMBER((Datos!J10-Datos!T10)/Datos!T10),(Datos!J10-Datos!T10)/Datos!T10," - ")</f>
        <v>-0.1111111111111111</v>
      </c>
      <c r="F10" s="357">
        <f>IF(ISNUMBER((Datos!K10-Datos!U10)/Datos!U10),(Datos!K10-Datos!U10)/Datos!U10," - ")</f>
        <v>-0.51351351351351349</v>
      </c>
      <c r="G10" s="358">
        <f>IF(ISNUMBER((Datos!L10-Datos!V10)/Datos!V10),(Datos!L10-Datos!V10)/Datos!V10," - ")</f>
        <v>-2.7777777777777776E-2</v>
      </c>
      <c r="H10" s="234">
        <f>IF(ISNUMBER((Datos!M10-Datos!W10)/Datos!W10),(Datos!M10-Datos!W10)/Datos!W10," - ")</f>
        <v>-0.53846153846153844</v>
      </c>
      <c r="I10" s="359">
        <f>IF(ISNUMBER((Tasas!C10-Datos!BE10)/Datos!BE10),(Tasas!C10-Datos!BE10)/Datos!BE10," - ")</f>
        <v>0.99845679012345667</v>
      </c>
      <c r="J10" s="358">
        <f>IF(ISNUMBER((Tasas!D10-Datos!BF10)/Datos!BF10),(Tasas!D10-Datos!BF10)/Datos!BF10," - ")</f>
        <v>-5.1282051282051384E-2</v>
      </c>
      <c r="K10" s="360">
        <f>IF(ISNUMBER((Tasas!E10-Datos!BG10)/Datos!BG10),(Tasas!E10-Datos!BG10)/Datos!BG10," - ")</f>
        <v>0.51311728395061729</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-0.14322916666666666</v>
      </c>
      <c r="I12" s="359">
        <f>IF(ISNUMBER((Tasas!C12-Datos!BE12)/Datos!BE12),(Tasas!C12-Datos!BE12)/Datos!BE12," - ")</f>
        <v>0.42859345804912102</v>
      </c>
      <c r="J12" s="358">
        <f>IF(ISNUMBER((Tasas!D12-Datos!BF12)/Datos!BF12),(Tasas!D12-Datos!BF12)/Datos!BF12," - ")</f>
        <v>-0.69786478806301178</v>
      </c>
      <c r="K12" s="360">
        <f>IF(ISNUMBER((Tasas!E12-Datos!BG12)/Datos!BG12),(Tasas!E12-Datos!BG12)/Datos!BG12," - ")</f>
        <v>0.36160803021268129</v>
      </c>
      <c r="M12" t="e">
        <f>IF(Monitorios="SI",Datos!CE12,0)</f>
        <v>#REF!</v>
      </c>
      <c r="N12" t="e">
        <f>IF(Monitorios="SI",Datos!CF12,0)</f>
        <v>#REF!</v>
      </c>
      <c r="O12" t="e">
        <f>IF(Monitorios="SI",Datos!CG12,0)</f>
        <v>#REF!</v>
      </c>
      <c r="P12" t="e">
        <f>IF(Monitorios="SI",Datos!CH12,0)</f>
        <v>#REF!</v>
      </c>
      <c r="Q12">
        <f>IF(J_V="SI",0,Datos!AG12)</f>
        <v>125</v>
      </c>
      <c r="R12">
        <f>IF(J_V="SI",0,Datos!AH12)</f>
        <v>111</v>
      </c>
      <c r="S12">
        <f>IF(J_V="SI",0,Datos!AI12)</f>
        <v>106</v>
      </c>
      <c r="T12">
        <f>IF(J_V="SI",0,Datos!AJ12)</f>
        <v>124</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-0.15617128463476071</v>
      </c>
      <c r="I13" s="366">
        <f>IF(ISNUMBER((Tasas!C13-Datos!BE13)/Datos!BE13),(Tasas!C13-Datos!BE13)/Datos!BE13," - ")</f>
        <v>0.4364804433796361</v>
      </c>
      <c r="J13" s="364">
        <f>IF(ISNUMBER((Tasas!D13-Datos!BF13)/Datos!BF13),(Tasas!D13-Datos!BF13)/Datos!BF13," - ")</f>
        <v>-0.69330138391730156</v>
      </c>
      <c r="K13" s="367">
        <f>IF(ISNUMBER((Tasas!E13-Datos!BG13)/Datos!BG13),(Tasas!E13-Datos!BG13)/Datos!BG13," - ")</f>
        <v>0.36644678624807031</v>
      </c>
      <c r="M13" t="e">
        <f>IF(Monitorios="SI",Datos!CE13,0)</f>
        <v>#REF!</v>
      </c>
      <c r="N13" t="e">
        <f>IF(Monitorios="SI",Datos!CF13,0)</f>
        <v>#REF!</v>
      </c>
      <c r="O13" t="e">
        <f>IF(Monitorios="SI",Datos!CG13,0)</f>
        <v>#REF!</v>
      </c>
      <c r="P13" t="e">
        <f>IF(Monitorios="SI",Datos!CH13,0)</f>
        <v>#REF!</v>
      </c>
      <c r="Q13">
        <f>IF(J_V="SI",0,Datos!AG13)</f>
        <v>125</v>
      </c>
      <c r="R13">
        <f>IF(J_V="SI",0,Datos!AH13)</f>
        <v>111</v>
      </c>
      <c r="S13">
        <f>IF(J_V="SI",0,Datos!AI13)</f>
        <v>106</v>
      </c>
      <c r="T13">
        <f>IF(J_V="SI",0,Datos!AJ13)</f>
        <v>124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-7.9119850187265917E-2</v>
      </c>
      <c r="E16" s="357">
        <f>IF(ISNUMBER(
   IF(D_I="SI",(Datos!J16-Datos!T16)/Datos!T16,(Datos!J16+Datos!AD16-(Datos!T16+Datos!AL16))/(Datos!T16+Datos!AL16))
     ),IF(D_I="SI",(Datos!J16-Datos!T16)/Datos!T16,(Datos!J16+Datos!AD16-(Datos!T16+Datos!AL16))/(Datos!T16+Datos!AL16))," - ")</f>
        <v>0.19158878504672897</v>
      </c>
      <c r="F16" s="357">
        <f>IF(ISNUMBER(
   IF(D_I="SI",(Datos!K16-Datos!U16)/Datos!U16,(Datos!K16+Datos!AE16-(Datos!U16+Datos!AM16))/(Datos!U16+Datos!AM16))
     ),IF(D_I="SI",(Datos!K16-Datos!U16)/Datos!U16,(Datos!K16+Datos!AE16-(Datos!U16+Datos!AM16))/(Datos!U16+Datos!AM16))," - ")</f>
        <v>-7.5607064017660042E-2</v>
      </c>
      <c r="G16" s="358">
        <f>IF(ISNUMBER(
   IF(D_I="SI",(Datos!L16-Datos!V16)/Datos!V16,(Datos!L16+Datos!AF16-(Datos!V16+Datos!AN16))/(Datos!V16+Datos!AN16))
     ),IF(D_I="SI",(Datos!L16-Datos!V16)/Datos!V16,(Datos!L16+Datos!AF16-(Datos!V16+Datos!AN16))/(Datos!V16+Datos!AN16))," - ")</f>
        <v>0.28436282693377851</v>
      </c>
      <c r="H16" s="234">
        <f>IF(ISNUMBER((Datos!M16-Datos!W16)/Datos!W16),(Datos!M16-Datos!W16)/Datos!W16," - ")</f>
        <v>3.3472803347280332E-2</v>
      </c>
      <c r="I16" s="359">
        <f>IF(ISNUMBER((Tasas!C16-Datos!BE16)/Datos!BE16),(Tasas!C16-Datos!BE16)/Datos!BE16," - ")</f>
        <v>0.38941220442030255</v>
      </c>
      <c r="J16" s="358">
        <f>IF(ISNUMBER((Tasas!D16-Datos!BF16)/Datos!BF16),(Tasas!D16-Datos!BF16)/Datos!BF16," - ")</f>
        <v>0.11800162368075938</v>
      </c>
      <c r="K16" s="360">
        <f>IF(ISNUMBER((Tasas!E16-Datos!BG16)/Datos!BG16),(Tasas!E16-Datos!BG16)/Datos!BG16," - ")</f>
        <v>0.12649083066993499</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0.32786885245901637</v>
      </c>
      <c r="E17" s="357">
        <f>IF(ISNUMBER(
   IF(D_I="SI",(Datos!J17-Datos!T17)/Datos!T17,(Datos!J17+Datos!AD17-(Datos!T17+Datos!AL17))/(Datos!T17+Datos!AL17))
     ),IF(D_I="SI",(Datos!J17-Datos!T17)/Datos!T17,(Datos!J17+Datos!AD17-(Datos!T17+Datos!AL17))/(Datos!T17+Datos!AL17))," - ")</f>
        <v>0.31981981981981983</v>
      </c>
      <c r="F17" s="357">
        <f>IF(ISNUMBER(
   IF(D_I="SI",(Datos!K17-Datos!U17)/Datos!U17,(Datos!K17+Datos!AE17-(Datos!U17+Datos!AM17))/(Datos!U17+Datos!AM17))
     ),IF(D_I="SI",(Datos!K17-Datos!U17)/Datos!U17,(Datos!K17+Datos!AE17-(Datos!U17+Datos!AM17))/(Datos!U17+Datos!AM17))," - ")</f>
        <v>0.16143497757847533</v>
      </c>
      <c r="G17" s="358">
        <f>IF(ISNUMBER(
   IF(D_I="SI",(Datos!L17-Datos!V17)/Datos!V17,(Datos!L17+Datos!AF17-(Datos!V17+Datos!AN17))/(Datos!V17+Datos!AN17))
     ),IF(D_I="SI",(Datos!L17-Datos!V17)/Datos!V17,(Datos!L17+Datos!AF17-(Datos!V17+Datos!AN17))/(Datos!V17+Datos!AN17))," - ")</f>
        <v>0.859375</v>
      </c>
      <c r="H17" s="234">
        <f>IF(ISNUMBER((Datos!M17-Datos!W17)/Datos!W17),(Datos!M17-Datos!W17)/Datos!W17," - ")</f>
        <v>-3.7735849056603772E-2</v>
      </c>
      <c r="I17" s="359">
        <f>IF(ISNUMBER((Tasas!C17-Datos!BE17)/Datos!BE17),(Tasas!C17-Datos!BE17)/Datos!BE17," - ")</f>
        <v>0.60092905405405417</v>
      </c>
      <c r="J17" s="358">
        <f>IF(ISNUMBER((Tasas!D17-Datos!BF17)/Datos!BF17),(Tasas!D17-Datos!BF17)/Datos!BF17," - ")</f>
        <v>-0.17148685073213374</v>
      </c>
      <c r="K17" s="360">
        <f>IF(ISNUMBER((Tasas!E17-Datos!BG17)/Datos!BG17),(Tasas!E17-Datos!BG17)/Datos!BG17," - ")</f>
        <v>0.13786375977188689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-6.7819754210286756E-2</v>
      </c>
      <c r="E18" s="363">
        <f>IF(ISNUMBER(
   IF(D_I="SI",(Datos!J18-Datos!T18)/Datos!T18,(Datos!J18+Datos!AD18-(Datos!T18+Datos!AL18))/(Datos!T18+Datos!AL18))
     ),IF(D_I="SI",(Datos!J18-Datos!T18)/Datos!T18,(Datos!J18+Datos!AD18-(Datos!T18+Datos!AL18))/(Datos!T18+Datos!AL18))," - ")</f>
        <v>0.20630816959669079</v>
      </c>
      <c r="F18" s="363">
        <f>IF(ISNUMBER(
   IF(D_I="SI",(Datos!K18-Datos!U18)/Datos!U18,(Datos!K18+Datos!AE18-(Datos!U18+Datos!AM18))/(Datos!U18+Datos!AM18))
     ),IF(D_I="SI",(Datos!K18-Datos!U18)/Datos!U18,(Datos!K18+Datos!AE18-(Datos!U18+Datos!AM18))/(Datos!U18+Datos!AM18))," - ")</f>
        <v>-4.963144963144963E-2</v>
      </c>
      <c r="G18" s="364">
        <f>IF(ISNUMBER(
   IF(D_I="SI",(Datos!L18-Datos!V18)/Datos!V18,(Datos!L18+Datos!AF18-(Datos!V18+Datos!AN18))/(Datos!V18+Datos!AN18))
     ),IF(D_I="SI",(Datos!L18-Datos!V18)/Datos!V18,(Datos!L18+Datos!AF18-(Datos!V18+Datos!AN18))/(Datos!V18+Datos!AN18))," - ")</f>
        <v>0.30413756045137025</v>
      </c>
      <c r="H18" s="365">
        <f>IF(ISNUMBER((Datos!M18-Datos!W18)/Datos!W18),(Datos!M18-Datos!W18)/Datos!W18," - ")</f>
        <v>2.0547945205479451E-2</v>
      </c>
      <c r="I18" s="366">
        <f>IF(ISNUMBER((Tasas!C18-Datos!BE18)/Datos!BE18),(Tasas!C18-Datos!BE18)/Datos!BE18," - ")</f>
        <v>0.37224402043357713</v>
      </c>
      <c r="J18" s="364">
        <f>IF(ISNUMBER((Tasas!D18-Datos!BF18)/Datos!BF18),(Tasas!D18-Datos!BF18)/Datos!BF18," - ")</f>
        <v>7.384439942768925E-2</v>
      </c>
      <c r="K18" s="367">
        <f>IF(ISNUMBER((Tasas!E18-Datos!BG18)/Datos!BG18),(Tasas!E18-Datos!BG18)/Datos!BG18," - ")</f>
        <v>0.11590186140206096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4.745145631067961E-2</v>
      </c>
      <c r="E19" s="372">
        <f>IF(ISNUMBER(
   IF(J_V="SI",(Datos!J19-Datos!T19)/Datos!T19,(Datos!J19+Datos!Z19-(Datos!T19+Datos!AH19))/(Datos!T19+Datos!AH19))
     ),IF(J_V="SI",(Datos!J19-Datos!T19)/Datos!T19,(Datos!J19+Datos!Z19-(Datos!T19+Datos!AH19))/(Datos!T19+Datos!AH19))," - ")</f>
        <v>0.12273838630806846</v>
      </c>
      <c r="F19" s="372">
        <f>IF(ISNUMBER(
   IF(J_V="SI",(Datos!K19-Datos!U19)/Datos!U19,(Datos!K19+Datos!AA19-(Datos!U19+Datos!AI19))/(Datos!U19+Datos!AI19))
     ),IF(J_V="SI",(Datos!K19-Datos!U19)/Datos!U19,(Datos!K19+Datos!AA19-(Datos!U19+Datos!AI19))/(Datos!U19+Datos!AI19))," - ")</f>
        <v>-0.13448115402512797</v>
      </c>
      <c r="G19" s="373">
        <f>IF(ISNUMBER(
   IF(J_V="SI",(Datos!L19-Datos!V19)/Datos!V19,(Datos!L19+Datos!AB19-(Datos!V19+Datos!AJ19))/(Datos!V19+Datos!AJ19))
     ),IF(J_V="SI",(Datos!L19-Datos!V19)/Datos!V19,(Datos!L19+Datos!AB19-(Datos!V19+Datos!AJ19))/(Datos!V19+Datos!AJ19))," - ")</f>
        <v>0.1737101047054371</v>
      </c>
      <c r="H19" s="374">
        <f>IF(ISNUMBER((Datos!M19-Datos!W19)/Datos!W19),(Datos!M19-Datos!W19)/Datos!W19," - ")</f>
        <v>-8.1277213352685049E-2</v>
      </c>
      <c r="I19" s="371">
        <f>IF(ISNUMBER((Tasas!C19-Datos!BE19)/Datos!BE19),(Tasas!C19-Datos!BE19)/Datos!BE19," - ")</f>
        <v>0.35607688979138946</v>
      </c>
      <c r="J19" s="372">
        <f>IF(ISNUMBER((Tasas!D19-Datos!BF19)/Datos!BF19),(Tasas!D19-Datos!BF19)/Datos!BF19," - ")</f>
        <v>-0.56363172684579255</v>
      </c>
      <c r="K19" s="373">
        <f>IF(ISNUMBER((Tasas!E19-Datos!BG19)/Datos!BG19),(Tasas!E19-Datos!BG19)/Datos!BG19," - ")</f>
        <v>0.23905445238032946</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0.28116046452560134</v>
      </c>
      <c r="E21" s="282">
        <f t="shared" si="1"/>
        <v>0.18430691057511239</v>
      </c>
      <c r="F21" s="282">
        <f t="shared" si="1"/>
        <v>0.28341912309788186</v>
      </c>
      <c r="G21" s="283">
        <f t="shared" si="1"/>
        <v>0.36900296447734687</v>
      </c>
      <c r="H21" s="289">
        <f t="shared" si="1"/>
        <v>0.21227971222380265</v>
      </c>
      <c r="I21" s="281">
        <f t="shared" si="1"/>
        <v>0.23992053658479781</v>
      </c>
      <c r="J21" s="282">
        <f t="shared" si="1"/>
        <v>0.36933476066952187</v>
      </c>
      <c r="K21" s="283">
        <f t="shared" si="1"/>
        <v>0.16649371843310226</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g8k1jz7JmO4MxBcGN/dIj2SS4kiLG7NxOyv9kjV+1MbSuFG7dTixKi0oL4R8U4lQpDOmQ+TkBrBOIiy+j3nsYA==" saltValue="qIuUPGj5nvJb1Jda23qaJ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2023-11-29T07:10:04Z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